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FC8F85F-27AD-4C1B-AFC4-840C4EFC65C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J51" i="18" s="1"/>
  <c r="D17" i="18"/>
  <c r="X38" i="18"/>
  <c r="X39" i="18"/>
  <c r="X40" i="18"/>
  <c r="X41" i="18"/>
  <c r="X31" i="18"/>
  <c r="X34" i="18"/>
  <c r="E6" i="17" s="1"/>
  <c r="E8"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R25" i="14" s="1"/>
  <c r="B14" i="48"/>
  <c r="B5" i="17"/>
  <c r="N18" i="18"/>
  <c r="L88" i="14" s="1"/>
  <c r="M18" i="18"/>
  <c r="K88" i="14" s="1"/>
  <c r="K18" i="59" s="1"/>
  <c r="K89" i="14"/>
  <c r="K19" i="59"/>
  <c r="L89" i="14"/>
  <c r="L19" i="59" s="1"/>
  <c r="L87" i="14"/>
  <c r="L17" i="59"/>
  <c r="K87" i="14"/>
  <c r="K17" i="59" s="1"/>
  <c r="K20"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5" i="22" s="1"/>
  <c r="H14" i="22" s="1"/>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B35" i="19"/>
  <c r="B6" i="13"/>
  <c r="B17" i="17"/>
  <c r="J5" i="17" s="1"/>
  <c r="B34" i="17"/>
  <c r="B29" i="17" s="1"/>
  <c r="C29" i="17" s="1"/>
  <c r="B6" i="16"/>
  <c r="W41" i="18"/>
  <c r="V41" i="18"/>
  <c r="U41" i="18"/>
  <c r="L6" i="17" s="1"/>
  <c r="L5" i="17" s="1"/>
  <c r="L8" i="17" s="1"/>
  <c r="M24" i="14" s="1"/>
  <c r="T41" i="18"/>
  <c r="S41" i="18"/>
  <c r="R41" i="18"/>
  <c r="Q41" i="18"/>
  <c r="P41" i="18"/>
  <c r="O41" i="18"/>
  <c r="N41" i="18"/>
  <c r="M41" i="18"/>
  <c r="W40" i="18"/>
  <c r="V40" i="18"/>
  <c r="U40" i="18"/>
  <c r="T40" i="18"/>
  <c r="S40" i="18"/>
  <c r="R40" i="18"/>
  <c r="Q40" i="18"/>
  <c r="P40" i="18"/>
  <c r="O40" i="18"/>
  <c r="N40" i="18"/>
  <c r="M40" i="18"/>
  <c r="W39" i="18"/>
  <c r="V39" i="18"/>
  <c r="U39" i="18"/>
  <c r="T39" i="18"/>
  <c r="L16" i="16" s="1"/>
  <c r="S39" i="18"/>
  <c r="R39" i="18"/>
  <c r="Q39" i="18"/>
  <c r="P39" i="18"/>
  <c r="O39" i="18"/>
  <c r="N39" i="18"/>
  <c r="M39" i="18"/>
  <c r="W38" i="18"/>
  <c r="V38" i="18"/>
  <c r="U38" i="18"/>
  <c r="T38" i="18"/>
  <c r="S38" i="18"/>
  <c r="R38" i="18"/>
  <c r="Q38" i="18"/>
  <c r="P38" i="18"/>
  <c r="O38" i="18"/>
  <c r="B19" i="18" s="1"/>
  <c r="N38" i="18"/>
  <c r="M38" i="18"/>
  <c r="W34" i="18"/>
  <c r="V34" i="18"/>
  <c r="N6" i="17" s="1"/>
  <c r="U34" i="18"/>
  <c r="T34" i="18"/>
  <c r="S34" i="18"/>
  <c r="F6" i="17" s="1"/>
  <c r="R34" i="18"/>
  <c r="Q34" i="18"/>
  <c r="P34" i="18"/>
  <c r="D6" i="17" s="1"/>
  <c r="D8" i="17" s="1"/>
  <c r="O34" i="18"/>
  <c r="C6" i="17" s="1"/>
  <c r="N34" i="18"/>
  <c r="M34" i="18"/>
  <c r="W33" i="18"/>
  <c r="V33" i="18"/>
  <c r="U33" i="18"/>
  <c r="L13" i="15" s="1"/>
  <c r="L16" i="15" s="1"/>
  <c r="L5" i="48" s="1"/>
  <c r="T33" i="18"/>
  <c r="S33" i="18"/>
  <c r="R33" i="18"/>
  <c r="Q33" i="18"/>
  <c r="N13" i="15" s="1"/>
  <c r="P33" i="18"/>
  <c r="O33" i="18"/>
  <c r="C13" i="15"/>
  <c r="C16" i="15" s="1"/>
  <c r="N33" i="18"/>
  <c r="B13" i="15" s="1"/>
  <c r="M33" i="18"/>
  <c r="W32" i="18"/>
  <c r="V32" i="18"/>
  <c r="U32" i="18"/>
  <c r="T32" i="18"/>
  <c r="S32" i="18"/>
  <c r="F16" i="16"/>
  <c r="R32" i="18"/>
  <c r="Q32" i="18"/>
  <c r="P32" i="18"/>
  <c r="D16" i="16"/>
  <c r="O32" i="18"/>
  <c r="N32" i="18"/>
  <c r="W31" i="18"/>
  <c r="V31" i="18"/>
  <c r="U31" i="18"/>
  <c r="T31" i="18"/>
  <c r="S31" i="18"/>
  <c r="R31" i="18"/>
  <c r="Q31" i="18"/>
  <c r="P31" i="18"/>
  <c r="O31" i="18"/>
  <c r="B17" i="18"/>
  <c r="N31" i="18"/>
  <c r="B8" i="18" s="1"/>
  <c r="M31" i="18"/>
  <c r="K22" i="18"/>
  <c r="J22" i="18"/>
  <c r="I22" i="18"/>
  <c r="H22" i="18"/>
  <c r="G22" i="18"/>
  <c r="F22" i="18"/>
  <c r="E22" i="18"/>
  <c r="D22" i="18"/>
  <c r="C22" i="18"/>
  <c r="L19" i="18"/>
  <c r="O89" i="14"/>
  <c r="O19" i="59"/>
  <c r="K19" i="18"/>
  <c r="N89" i="14" s="1"/>
  <c r="N19" i="59" s="1"/>
  <c r="G19" i="18"/>
  <c r="H89" i="14"/>
  <c r="H19" i="59"/>
  <c r="F19" i="18"/>
  <c r="G89" i="14" s="1"/>
  <c r="G19" i="59" s="1"/>
  <c r="L18" i="18"/>
  <c r="O88" i="14"/>
  <c r="O18" i="59" s="1"/>
  <c r="K18" i="18"/>
  <c r="N88" i="14"/>
  <c r="N90" i="14" s="1"/>
  <c r="N18" i="59"/>
  <c r="N20" i="59" s="1"/>
  <c r="J18" i="18"/>
  <c r="J88" i="14"/>
  <c r="J18" i="59"/>
  <c r="I18" i="18"/>
  <c r="I88" i="14" s="1"/>
  <c r="I18" i="59" s="1"/>
  <c r="H18" i="18"/>
  <c r="M88" i="14" s="1"/>
  <c r="M18" i="59" s="1"/>
  <c r="G18" i="18"/>
  <c r="F18" i="18"/>
  <c r="G88" i="14"/>
  <c r="E18" i="18"/>
  <c r="D18" i="18"/>
  <c r="E88" i="14"/>
  <c r="E18" i="59" s="1"/>
  <c r="C18" i="18"/>
  <c r="B18" i="18"/>
  <c r="K12" i="18"/>
  <c r="J12" i="18"/>
  <c r="I12" i="18"/>
  <c r="H12" i="18"/>
  <c r="G12" i="18"/>
  <c r="F12" i="18"/>
  <c r="E12" i="18"/>
  <c r="D12" i="18"/>
  <c r="C12" i="18"/>
  <c r="L9" i="18"/>
  <c r="K9" i="18"/>
  <c r="G9" i="18"/>
  <c r="H77" i="14" s="1"/>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N10" i="17"/>
  <c r="M10" i="17"/>
  <c r="M12" i="17"/>
  <c r="N54" i="14"/>
  <c r="N56" i="14"/>
  <c r="L10" i="17"/>
  <c r="K10" i="17"/>
  <c r="J10" i="17"/>
  <c r="I10" i="17"/>
  <c r="H10" i="17"/>
  <c r="G10" i="17"/>
  <c r="F10" i="17"/>
  <c r="E10" i="17"/>
  <c r="D10" i="17"/>
  <c r="C5" i="17"/>
  <c r="B8" i="17"/>
  <c r="B51" i="16"/>
  <c r="P5" i="16"/>
  <c r="B45" i="16"/>
  <c r="B43" i="16"/>
  <c r="O5" i="16" s="1"/>
  <c r="B37" i="16"/>
  <c r="C37" i="16"/>
  <c r="F15" i="16"/>
  <c r="B36" i="16"/>
  <c r="B35" i="16"/>
  <c r="C35" i="16" s="1"/>
  <c r="B34" i="16"/>
  <c r="B33" i="16"/>
  <c r="C33" i="16"/>
  <c r="N11" i="16" s="1"/>
  <c r="F11" i="16"/>
  <c r="B32" i="16"/>
  <c r="C32" i="16"/>
  <c r="J10" i="16"/>
  <c r="B31" i="16"/>
  <c r="B30" i="16"/>
  <c r="B8" i="16" s="1"/>
  <c r="C30" i="16"/>
  <c r="B29" i="16"/>
  <c r="C29" i="16"/>
  <c r="F7" i="16" s="1"/>
  <c r="N20" i="16"/>
  <c r="M20" i="16"/>
  <c r="M22" i="16"/>
  <c r="N43" i="14"/>
  <c r="L20" i="16"/>
  <c r="K20" i="16"/>
  <c r="J20" i="16"/>
  <c r="I20" i="16"/>
  <c r="H20" i="16"/>
  <c r="G20" i="16"/>
  <c r="F20" i="16"/>
  <c r="E20" i="16"/>
  <c r="D20" i="16"/>
  <c r="C5" i="16"/>
  <c r="B40" i="15"/>
  <c r="B32" i="15"/>
  <c r="C32" i="15"/>
  <c r="B31" i="15"/>
  <c r="C31" i="15"/>
  <c r="E11" i="15"/>
  <c r="B30" i="15"/>
  <c r="C30" i="15"/>
  <c r="E10" i="15"/>
  <c r="B29" i="15"/>
  <c r="C29" i="15" s="1"/>
  <c r="J9" i="15" s="1"/>
  <c r="B28" i="15"/>
  <c r="C28" i="15"/>
  <c r="B27" i="15"/>
  <c r="C27" i="15"/>
  <c r="N7" i="15" s="1"/>
  <c r="F7" i="15"/>
  <c r="B26" i="15"/>
  <c r="C26" i="15"/>
  <c r="E6" i="15"/>
  <c r="N18" i="15"/>
  <c r="M18" i="15"/>
  <c r="L18" i="15"/>
  <c r="K18" i="15"/>
  <c r="J18" i="15"/>
  <c r="I18" i="15"/>
  <c r="H18" i="15"/>
  <c r="G18" i="15"/>
  <c r="F18" i="15"/>
  <c r="E18" i="15"/>
  <c r="D18" i="15"/>
  <c r="H10" i="14"/>
  <c r="P5" i="15"/>
  <c r="P16" i="15" s="1"/>
  <c r="C5" i="15"/>
  <c r="B60" i="13"/>
  <c r="B37" i="13"/>
  <c r="B54" i="13"/>
  <c r="O8" i="13"/>
  <c r="B27" i="13"/>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E87" i="14"/>
  <c r="E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J15" i="16"/>
  <c r="J30" i="48"/>
  <c r="J32" i="48"/>
  <c r="F30" i="48"/>
  <c r="F32" i="48"/>
  <c r="N30" i="48"/>
  <c r="N32" i="48"/>
  <c r="K10" i="18"/>
  <c r="N77" i="14"/>
  <c r="N9" i="59" s="1"/>
  <c r="N10" i="59" s="1"/>
  <c r="L10" i="18"/>
  <c r="O77" i="14"/>
  <c r="H16" i="14"/>
  <c r="B8" i="9"/>
  <c r="B6" i="48" s="1"/>
  <c r="L18" i="16"/>
  <c r="M13" i="14"/>
  <c r="I14" i="15"/>
  <c r="I16" i="15"/>
  <c r="J10" i="14"/>
  <c r="J16" i="14" s="1"/>
  <c r="B13" i="16"/>
  <c r="D12" i="17"/>
  <c r="E54" i="14"/>
  <c r="E9" i="14"/>
  <c r="D14" i="15"/>
  <c r="P18" i="16"/>
  <c r="Q13" i="14" s="1"/>
  <c r="P22" i="16"/>
  <c r="Q43" i="14" s="1"/>
  <c r="N5" i="17"/>
  <c r="J8" i="17"/>
  <c r="J12" i="17" s="1"/>
  <c r="K54" i="14" s="1"/>
  <c r="K56" i="14"/>
  <c r="N16" i="16"/>
  <c r="F13" i="15"/>
  <c r="D13" i="15"/>
  <c r="B67" i="22"/>
  <c r="M11" i="22"/>
  <c r="G10" i="22"/>
  <c r="M9" i="22"/>
  <c r="G8" i="22"/>
  <c r="M7" i="22"/>
  <c r="G6" i="22"/>
  <c r="G11" i="22"/>
  <c r="M8" i="22"/>
  <c r="G7" i="22"/>
  <c r="M10" i="22"/>
  <c r="G9" i="22"/>
  <c r="G5" i="22" s="1"/>
  <c r="M6" i="22"/>
  <c r="B12" i="48"/>
  <c r="Q12" i="48"/>
  <c r="O9" i="14"/>
  <c r="B7" i="15"/>
  <c r="B11" i="15"/>
  <c r="B11" i="16"/>
  <c r="J9" i="14"/>
  <c r="B51" i="18"/>
  <c r="B16" i="16"/>
  <c r="K9" i="14"/>
  <c r="J11" i="48"/>
  <c r="J29" i="48"/>
  <c r="M9" i="14"/>
  <c r="L11" i="48"/>
  <c r="O19" i="14"/>
  <c r="O22" i="14"/>
  <c r="N10" i="48"/>
  <c r="N28" i="48"/>
  <c r="J19" i="14"/>
  <c r="J22" i="14"/>
  <c r="I10" i="48"/>
  <c r="I28" i="48"/>
  <c r="J19" i="19"/>
  <c r="K39" i="14"/>
  <c r="N19" i="19"/>
  <c r="O39" i="14"/>
  <c r="C47" i="18"/>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46" i="14" s="1"/>
  <c r="L61" i="14" s="1"/>
  <c r="L63" i="14" s="1"/>
  <c r="L9" i="14"/>
  <c r="K11" i="48"/>
  <c r="K29" i="48"/>
  <c r="D11" i="48"/>
  <c r="D29" i="48"/>
  <c r="F19" i="19"/>
  <c r="G39" i="14"/>
  <c r="L19" i="19"/>
  <c r="M39" i="14"/>
  <c r="M12" i="13"/>
  <c r="N41" i="14"/>
  <c r="C78" i="22"/>
  <c r="M27" i="20"/>
  <c r="M12" i="22"/>
  <c r="H27" i="20"/>
  <c r="J7" i="15"/>
  <c r="J11"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s="1"/>
  <c r="O20" i="15" s="1"/>
  <c r="P40" i="14" s="1"/>
  <c r="M20" i="15"/>
  <c r="N40" i="14" s="1"/>
  <c r="N10" i="14"/>
  <c r="N16" i="14" s="1"/>
  <c r="G20" i="15"/>
  <c r="H40" i="14"/>
  <c r="H46" i="14" s="1"/>
  <c r="H20" i="15"/>
  <c r="I40" i="14"/>
  <c r="I46" i="14" s="1"/>
  <c r="I10" i="14"/>
  <c r="I16" i="14" s="1"/>
  <c r="B74" i="14"/>
  <c r="B6" i="59"/>
  <c r="F8" i="16"/>
  <c r="B7" i="48"/>
  <c r="C24" i="14"/>
  <c r="C26" i="14"/>
  <c r="F6" i="15"/>
  <c r="N10" i="16"/>
  <c r="B8" i="15"/>
  <c r="F12" i="15"/>
  <c r="I20" i="15"/>
  <c r="J40" i="14" s="1"/>
  <c r="J46" i="14" s="1"/>
  <c r="E8" i="15"/>
  <c r="B10" i="15"/>
  <c r="B6" i="15"/>
  <c r="N9" i="15"/>
  <c r="J10" i="15"/>
  <c r="F10" i="16"/>
  <c r="J11" i="16"/>
  <c r="B15" i="16"/>
  <c r="J6" i="15"/>
  <c r="F10" i="15"/>
  <c r="B12" i="15"/>
  <c r="B7" i="16"/>
  <c r="E10" i="16"/>
  <c r="N6" i="15"/>
  <c r="F9" i="15"/>
  <c r="N10" i="15"/>
  <c r="J8" i="16"/>
  <c r="B10" i="16"/>
  <c r="E11" i="16"/>
  <c r="E15" i="16"/>
  <c r="E7" i="16"/>
  <c r="J7" i="16"/>
  <c r="N7" i="16"/>
  <c r="E9" i="15"/>
  <c r="N15" i="16"/>
  <c r="B9" i="15"/>
  <c r="E11" i="48"/>
  <c r="E29" i="48"/>
  <c r="F9" i="14"/>
  <c r="D9" i="14"/>
  <c r="E19" i="19"/>
  <c r="F39" i="14"/>
  <c r="C11" i="48"/>
  <c r="D19" i="19"/>
  <c r="E39" i="14"/>
  <c r="C9" i="14"/>
  <c r="B11" i="48"/>
  <c r="E14" i="22"/>
  <c r="D5" i="22"/>
  <c r="D14" i="22"/>
  <c r="P11" i="48"/>
  <c r="P29" i="48"/>
  <c r="H5" i="48"/>
  <c r="O11" i="48"/>
  <c r="P9" i="14"/>
  <c r="M5" i="48"/>
  <c r="G29" i="48"/>
  <c r="E30" i="48"/>
  <c r="I31" i="48"/>
  <c r="I27" i="48"/>
  <c r="I30" i="48"/>
  <c r="K27" i="48"/>
  <c r="O30" i="48"/>
  <c r="K22" i="48"/>
  <c r="G22" i="48"/>
  <c r="M17" i="48"/>
  <c r="K30" i="48"/>
  <c r="F5" i="13"/>
  <c r="F8" i="13" s="1"/>
  <c r="G11" i="14"/>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B10" i="48"/>
  <c r="C19" i="14"/>
  <c r="P25" i="48"/>
  <c r="E5" i="17"/>
  <c r="C8" i="17"/>
  <c r="C7" i="48" s="1"/>
  <c r="G25" i="48"/>
  <c r="I25" i="48"/>
  <c r="D88" i="14"/>
  <c r="D18" i="59"/>
  <c r="H88" i="14"/>
  <c r="F88" i="14"/>
  <c r="F18" i="59"/>
  <c r="L20" i="18"/>
  <c r="G77" i="14"/>
  <c r="O90" i="14"/>
  <c r="D11" i="14"/>
  <c r="C4" i="48"/>
  <c r="N46" i="14"/>
  <c r="G51" i="22"/>
  <c r="G50" i="22" s="1"/>
  <c r="G54" i="22" s="1"/>
  <c r="G10" i="48" s="1"/>
  <c r="M51" i="22"/>
  <c r="M50" i="22" s="1"/>
  <c r="M54" i="22" s="1"/>
  <c r="N19" i="14" s="1"/>
  <c r="M10" i="48"/>
  <c r="M15" i="48" s="1"/>
  <c r="I5" i="48"/>
  <c r="I23" i="48" s="1"/>
  <c r="J7" i="48"/>
  <c r="J25" i="48"/>
  <c r="K33" i="48"/>
  <c r="J27" i="14"/>
  <c r="M24" i="48"/>
  <c r="M32" i="48"/>
  <c r="K15" i="48"/>
  <c r="H78" i="14"/>
  <c r="H9" i="59"/>
  <c r="H10" i="59"/>
  <c r="N78" i="14"/>
  <c r="G78" i="14"/>
  <c r="G9" i="59"/>
  <c r="G10" i="59"/>
  <c r="H90" i="14"/>
  <c r="H18" i="59"/>
  <c r="H20" i="59" s="1"/>
  <c r="O78" i="14"/>
  <c r="O9" i="59"/>
  <c r="O10" i="59"/>
  <c r="L8" i="48"/>
  <c r="L26" i="48"/>
  <c r="L22" i="16"/>
  <c r="M43" i="14" s="1"/>
  <c r="C17" i="18"/>
  <c r="D10" i="14"/>
  <c r="D16" i="14" s="1"/>
  <c r="B88" i="14"/>
  <c r="B18" i="59" s="1"/>
  <c r="J61" i="14"/>
  <c r="J63" i="14" s="1"/>
  <c r="L16" i="14"/>
  <c r="L27" i="14" s="1"/>
  <c r="P8" i="48"/>
  <c r="P26" i="48"/>
  <c r="D18" i="16"/>
  <c r="G31" i="20"/>
  <c r="H48" i="14"/>
  <c r="G12" i="22"/>
  <c r="K24" i="14"/>
  <c r="K26" i="14"/>
  <c r="O18" i="16"/>
  <c r="H13" i="48"/>
  <c r="H31" i="48"/>
  <c r="H12" i="22"/>
  <c r="E5" i="13"/>
  <c r="E8" i="13"/>
  <c r="F11" i="14" s="1"/>
  <c r="N8" i="17"/>
  <c r="N12" i="17"/>
  <c r="O54" i="14"/>
  <c r="O56" i="14" s="1"/>
  <c r="L12" i="17"/>
  <c r="M54" i="14" s="1"/>
  <c r="M56" i="14" s="1"/>
  <c r="E24" i="14"/>
  <c r="E26" i="14"/>
  <c r="M29" i="48"/>
  <c r="C51" i="18"/>
  <c r="E51" i="18"/>
  <c r="E17" i="18" s="1"/>
  <c r="G51" i="18"/>
  <c r="D7" i="48"/>
  <c r="D25" i="48"/>
  <c r="D51" i="18"/>
  <c r="J17" i="18" s="1"/>
  <c r="L28" i="48"/>
  <c r="H51" i="18"/>
  <c r="I51" i="18"/>
  <c r="H17" i="18"/>
  <c r="F51" i="18"/>
  <c r="B50" i="18"/>
  <c r="C8" i="18" s="1"/>
  <c r="L31" i="48"/>
  <c r="L24" i="48"/>
  <c r="L22" i="48"/>
  <c r="M23" i="48"/>
  <c r="M33" i="48" s="1"/>
  <c r="M22" i="48"/>
  <c r="I18" i="14"/>
  <c r="Q88" i="14"/>
  <c r="P18" i="59"/>
  <c r="D9" i="48"/>
  <c r="D27" i="48"/>
  <c r="D13" i="14"/>
  <c r="F20" i="14"/>
  <c r="F22" i="14" s="1"/>
  <c r="L30" i="48"/>
  <c r="B20" i="18"/>
  <c r="D24" i="14"/>
  <c r="D26" i="14" s="1"/>
  <c r="L29" i="48"/>
  <c r="M31" i="20"/>
  <c r="N48" i="14"/>
  <c r="N18" i="14"/>
  <c r="M13" i="48"/>
  <c r="M31" i="48"/>
  <c r="H31" i="20"/>
  <c r="I48" i="14"/>
  <c r="G13" i="48"/>
  <c r="G31" i="48"/>
  <c r="H18" i="14"/>
  <c r="M5" i="22"/>
  <c r="M14" i="22" s="1"/>
  <c r="M9" i="48" s="1"/>
  <c r="E5" i="15"/>
  <c r="E16" i="15" s="1"/>
  <c r="E5" i="48" s="1"/>
  <c r="E23" i="48" s="1"/>
  <c r="P10" i="14"/>
  <c r="P20" i="15"/>
  <c r="Q40" i="14" s="1"/>
  <c r="Q10" i="14"/>
  <c r="F4" i="48"/>
  <c r="F22" i="48" s="1"/>
  <c r="B5" i="15"/>
  <c r="B16" i="15" s="1"/>
  <c r="F12" i="13"/>
  <c r="G41" i="14"/>
  <c r="P5" i="48"/>
  <c r="P23" i="48"/>
  <c r="F13" i="16"/>
  <c r="E13" i="16"/>
  <c r="N13" i="16"/>
  <c r="J13" i="16"/>
  <c r="Q11" i="48"/>
  <c r="O5" i="48"/>
  <c r="O23" i="48" s="1"/>
  <c r="R9" i="14"/>
  <c r="O29" i="48"/>
  <c r="H23" i="48"/>
  <c r="L27" i="48"/>
  <c r="M30" i="48"/>
  <c r="M26" i="48"/>
  <c r="M25" i="48"/>
  <c r="J5" i="13"/>
  <c r="J8" i="13" s="1"/>
  <c r="J12" i="13" s="1"/>
  <c r="K41" i="14" s="1"/>
  <c r="C5" i="48"/>
  <c r="G14" i="22"/>
  <c r="I33" i="48"/>
  <c r="P13" i="14"/>
  <c r="E12" i="17"/>
  <c r="F54" i="14" s="1"/>
  <c r="F56" i="14" s="1"/>
  <c r="M28" i="48"/>
  <c r="D87" i="14"/>
  <c r="D17" i="59" s="1"/>
  <c r="N7" i="48"/>
  <c r="N25" i="48"/>
  <c r="D8" i="48"/>
  <c r="D26" i="48" s="1"/>
  <c r="O24" i="14"/>
  <c r="O26" i="14"/>
  <c r="L7" i="48"/>
  <c r="L25" i="48" s="1"/>
  <c r="M26" i="14"/>
  <c r="M58" i="22"/>
  <c r="N49" i="14" s="1"/>
  <c r="N52" i="14" s="1"/>
  <c r="D18" i="22"/>
  <c r="E50" i="14" s="1"/>
  <c r="E52" i="14" s="1"/>
  <c r="M87" i="14"/>
  <c r="M17" i="59" s="1"/>
  <c r="E20" i="14"/>
  <c r="E22" i="14" s="1"/>
  <c r="G58" i="22"/>
  <c r="H49" i="14" s="1"/>
  <c r="R18" i="14"/>
  <c r="Q13" i="48"/>
  <c r="M18" i="22"/>
  <c r="N50" i="14" s="1"/>
  <c r="M10" i="14"/>
  <c r="M16" i="14" s="1"/>
  <c r="M27" i="14" s="1"/>
  <c r="C10" i="14"/>
  <c r="B5" i="48"/>
  <c r="L20" i="15"/>
  <c r="M40" i="14" s="1"/>
  <c r="L23" i="48"/>
  <c r="L33" i="48" s="1"/>
  <c r="E20" i="15"/>
  <c r="F40" i="14" s="1"/>
  <c r="G28" i="48"/>
  <c r="M27" i="48"/>
  <c r="E56" i="14"/>
  <c r="F87" i="14" l="1"/>
  <c r="I61" i="14"/>
  <c r="I63" i="14" s="1"/>
  <c r="M46" i="14"/>
  <c r="M61" i="14" s="1"/>
  <c r="M63" i="14" s="1"/>
  <c r="H52" i="14"/>
  <c r="H61" i="14" s="1"/>
  <c r="J87" i="14"/>
  <c r="D76" i="14"/>
  <c r="I20" i="14"/>
  <c r="I22" i="14" s="1"/>
  <c r="I27" i="14" s="1"/>
  <c r="H18" i="22"/>
  <c r="I50" i="14" s="1"/>
  <c r="I52" i="14" s="1"/>
  <c r="H9" i="48"/>
  <c r="B9" i="48"/>
  <c r="C20" i="14"/>
  <c r="G9" i="48"/>
  <c r="G18" i="22"/>
  <c r="H50" i="14" s="1"/>
  <c r="H20" i="14"/>
  <c r="E9" i="48"/>
  <c r="E27" i="48" s="1"/>
  <c r="E18" i="22"/>
  <c r="F50" i="14" s="1"/>
  <c r="F52" i="14" s="1"/>
  <c r="B73" i="14"/>
  <c r="Q87" i="14"/>
  <c r="N61" i="14"/>
  <c r="N20" i="14"/>
  <c r="N22" i="14" s="1"/>
  <c r="N27" i="14" s="1"/>
  <c r="F10" i="14"/>
  <c r="I15" i="48"/>
  <c r="C15" i="48"/>
  <c r="I17" i="18"/>
  <c r="D22" i="16"/>
  <c r="E43" i="14" s="1"/>
  <c r="E13" i="14"/>
  <c r="H19" i="14"/>
  <c r="C11" i="14"/>
  <c r="C56" i="18"/>
  <c r="B9" i="18"/>
  <c r="D16" i="15"/>
  <c r="F24" i="14"/>
  <c r="F26" i="14" s="1"/>
  <c r="E7" i="48"/>
  <c r="D27" i="14"/>
  <c r="B20" i="6" s="1"/>
  <c r="E4" i="48"/>
  <c r="K11" i="14"/>
  <c r="J4" i="48"/>
  <c r="E12" i="13"/>
  <c r="F41" i="14" s="1"/>
  <c r="O22" i="16"/>
  <c r="P43" i="14" s="1"/>
  <c r="O8" i="48"/>
  <c r="O26" i="48" s="1"/>
  <c r="F20" i="18"/>
  <c r="Q10" i="48"/>
  <c r="J50" i="18"/>
  <c r="D8" i="18" s="1"/>
  <c r="I50" i="18"/>
  <c r="H8" i="18" s="1"/>
  <c r="E50" i="18"/>
  <c r="E8" i="18" s="1"/>
  <c r="C50" i="18"/>
  <c r="H50" i="18"/>
  <c r="F50" i="18"/>
  <c r="D50" i="18"/>
  <c r="G50" i="18"/>
  <c r="O4" i="48"/>
  <c r="P11" i="14"/>
  <c r="P16" i="14" s="1"/>
  <c r="P27" i="14" s="1"/>
  <c r="O12" i="13"/>
  <c r="P41" i="14" s="1"/>
  <c r="P46" i="14" s="1"/>
  <c r="P61" i="14" s="1"/>
  <c r="N8" i="15"/>
  <c r="J8" i="15"/>
  <c r="F8" i="15"/>
  <c r="F5" i="15" s="1"/>
  <c r="F16" i="15" s="1"/>
  <c r="N8" i="16"/>
  <c r="E8" i="16"/>
  <c r="G18" i="59"/>
  <c r="G90" i="14"/>
  <c r="C88" i="14"/>
  <c r="C18" i="59" s="1"/>
  <c r="L15" i="48"/>
  <c r="N12" i="15"/>
  <c r="J12" i="15"/>
  <c r="B12" i="16"/>
  <c r="C34" i="16"/>
  <c r="C31" i="16"/>
  <c r="B9" i="16"/>
  <c r="B5" i="16" s="1"/>
  <c r="B18" i="16" s="1"/>
  <c r="O18" i="18"/>
  <c r="K8" i="59"/>
  <c r="K10" i="59" s="1"/>
  <c r="K78" i="14"/>
  <c r="L18" i="59"/>
  <c r="L20" i="59" s="1"/>
  <c r="L90" i="14"/>
  <c r="G20" i="59"/>
  <c r="B34" i="13"/>
  <c r="N5" i="13" s="1"/>
  <c r="N8" i="13" s="1"/>
  <c r="P5" i="13"/>
  <c r="P8" i="13" s="1"/>
  <c r="C36" i="16"/>
  <c r="B14" i="16"/>
  <c r="B56" i="18"/>
  <c r="F5" i="17"/>
  <c r="F8" i="17" s="1"/>
  <c r="D14" i="48"/>
  <c r="P63" i="14" l="1"/>
  <c r="D60" i="18"/>
  <c r="G60" i="18"/>
  <c r="I60" i="18"/>
  <c r="H19" i="18" s="1"/>
  <c r="B60" i="18"/>
  <c r="C19" i="18" s="1"/>
  <c r="E60" i="18"/>
  <c r="E19" i="18" s="1"/>
  <c r="H60" i="18"/>
  <c r="J60" i="18"/>
  <c r="D19" i="18" s="1"/>
  <c r="C60" i="18"/>
  <c r="F60" i="18"/>
  <c r="N4" i="48"/>
  <c r="O11" i="14"/>
  <c r="N12" i="13"/>
  <c r="O41" i="14" s="1"/>
  <c r="B8" i="48"/>
  <c r="C13" i="14"/>
  <c r="F76" i="14"/>
  <c r="E10" i="14"/>
  <c r="D20" i="15"/>
  <c r="E40" i="14" s="1"/>
  <c r="E46" i="14" s="1"/>
  <c r="E61" i="14" s="1"/>
  <c r="D5" i="48"/>
  <c r="B5" i="59"/>
  <c r="G27" i="48"/>
  <c r="G33" i="48" s="1"/>
  <c r="G15" i="48"/>
  <c r="H15" i="48"/>
  <c r="H27" i="48"/>
  <c r="H33" i="48" s="1"/>
  <c r="J17" i="59"/>
  <c r="J9" i="16"/>
  <c r="E9" i="16"/>
  <c r="F9" i="16"/>
  <c r="N9" i="16"/>
  <c r="F20" i="15"/>
  <c r="G40" i="14" s="1"/>
  <c r="G10" i="14"/>
  <c r="F5" i="48"/>
  <c r="M76" i="14"/>
  <c r="E22" i="48"/>
  <c r="P17" i="59"/>
  <c r="R20" i="14"/>
  <c r="C22" i="14"/>
  <c r="Q14" i="48"/>
  <c r="D32" i="48"/>
  <c r="F14" i="16"/>
  <c r="J14" i="16"/>
  <c r="E14" i="16"/>
  <c r="N14" i="16"/>
  <c r="N5" i="16" s="1"/>
  <c r="N18" i="16" s="1"/>
  <c r="F12" i="16"/>
  <c r="E12" i="16"/>
  <c r="N12" i="16"/>
  <c r="J12" i="16"/>
  <c r="J5" i="15"/>
  <c r="J16" i="15" s="1"/>
  <c r="O22" i="48"/>
  <c r="O33" i="48" s="1"/>
  <c r="O15" i="48"/>
  <c r="J8" i="18"/>
  <c r="E76" i="14"/>
  <c r="E25" i="48"/>
  <c r="Q7" i="48"/>
  <c r="D59" i="18"/>
  <c r="H59" i="18"/>
  <c r="E59" i="18"/>
  <c r="E9" i="18" s="1"/>
  <c r="F77" i="14" s="1"/>
  <c r="F9" i="59" s="1"/>
  <c r="I59" i="18"/>
  <c r="H9" i="18" s="1"/>
  <c r="M77" i="14" s="1"/>
  <c r="M9" i="59" s="1"/>
  <c r="F59" i="18"/>
  <c r="J59" i="18"/>
  <c r="D9" i="18" s="1"/>
  <c r="E77" i="14" s="1"/>
  <c r="E9" i="59" s="1"/>
  <c r="B59" i="18"/>
  <c r="C9" i="18" s="1"/>
  <c r="C59" i="18"/>
  <c r="G59" i="18"/>
  <c r="I9" i="18" s="1"/>
  <c r="I77" i="14" s="1"/>
  <c r="I9" i="59" s="1"/>
  <c r="I87" i="14"/>
  <c r="N63" i="14"/>
  <c r="D8" i="59"/>
  <c r="Q76" i="14"/>
  <c r="O17" i="18"/>
  <c r="G24" i="14"/>
  <c r="F12" i="17"/>
  <c r="G54" i="14" s="1"/>
  <c r="G56" i="14" s="1"/>
  <c r="F7" i="48"/>
  <c r="F25" i="48" s="1"/>
  <c r="P12" i="13"/>
  <c r="Q41" i="14" s="1"/>
  <c r="Q46" i="14" s="1"/>
  <c r="Q61" i="14" s="1"/>
  <c r="P4" i="48"/>
  <c r="Q11" i="14"/>
  <c r="Q16" i="14" s="1"/>
  <c r="Q27" i="14" s="1"/>
  <c r="E5" i="16"/>
  <c r="E18" i="16" s="1"/>
  <c r="N5" i="15"/>
  <c r="N16" i="15" s="1"/>
  <c r="I8" i="18"/>
  <c r="J22" i="48"/>
  <c r="R19" i="14"/>
  <c r="R22" i="14" s="1"/>
  <c r="H22" i="14"/>
  <c r="H27" i="14" s="1"/>
  <c r="H63" i="14" s="1"/>
  <c r="B10" i="18"/>
  <c r="Q9" i="48"/>
  <c r="F17" i="59"/>
  <c r="N22" i="16" l="1"/>
  <c r="O43" i="14" s="1"/>
  <c r="N8" i="48"/>
  <c r="N26" i="48" s="1"/>
  <c r="O13" i="14"/>
  <c r="P8" i="59"/>
  <c r="J76" i="14"/>
  <c r="J5" i="16"/>
  <c r="J18" i="16" s="1"/>
  <c r="E16" i="14"/>
  <c r="E27" i="14" s="1"/>
  <c r="I76" i="14"/>
  <c r="I10" i="18"/>
  <c r="P22" i="48"/>
  <c r="P33" i="48" s="1"/>
  <c r="P15" i="48"/>
  <c r="G26" i="14"/>
  <c r="R24" i="14"/>
  <c r="R26" i="14" s="1"/>
  <c r="D77" i="14"/>
  <c r="C10" i="18"/>
  <c r="Q4" i="48"/>
  <c r="M8" i="59"/>
  <c r="M10" i="59" s="1"/>
  <c r="M78" i="14"/>
  <c r="E89" i="14"/>
  <c r="D20" i="18"/>
  <c r="M89" i="14"/>
  <c r="H20" i="18"/>
  <c r="H10" i="18"/>
  <c r="O10" i="14"/>
  <c r="O16" i="14" s="1"/>
  <c r="O27" i="14" s="1"/>
  <c r="N5" i="48"/>
  <c r="N23" i="48" s="1"/>
  <c r="N20" i="15"/>
  <c r="O40" i="14" s="1"/>
  <c r="O46" i="14" s="1"/>
  <c r="O61" i="14" s="1"/>
  <c r="Q63" i="14"/>
  <c r="R11" i="14"/>
  <c r="J9" i="18"/>
  <c r="J77" i="14" s="1"/>
  <c r="J9" i="59" s="1"/>
  <c r="D10" i="18"/>
  <c r="F23" i="48"/>
  <c r="F5" i="16"/>
  <c r="F18" i="16" s="1"/>
  <c r="D23" i="48"/>
  <c r="D33" i="48" s="1"/>
  <c r="D15" i="48"/>
  <c r="F78" i="14"/>
  <c r="F8" i="59"/>
  <c r="F10" i="59" s="1"/>
  <c r="N15" i="48"/>
  <c r="N22" i="48"/>
  <c r="N33" i="48" s="1"/>
  <c r="J19" i="18"/>
  <c r="I19" i="18"/>
  <c r="I17" i="59"/>
  <c r="B87" i="14"/>
  <c r="C87" i="14"/>
  <c r="D89" i="14"/>
  <c r="O19" i="18"/>
  <c r="O20" i="18" s="1"/>
  <c r="C20" i="18"/>
  <c r="F13" i="14"/>
  <c r="F16" i="14" s="1"/>
  <c r="F27" i="14" s="1"/>
  <c r="E22" i="16"/>
  <c r="F43" i="14" s="1"/>
  <c r="F46" i="14" s="1"/>
  <c r="F61" i="14" s="1"/>
  <c r="E8" i="48"/>
  <c r="E8" i="59"/>
  <c r="E10" i="59" s="1"/>
  <c r="E78" i="14"/>
  <c r="K10" i="14"/>
  <c r="J20" i="15"/>
  <c r="K40" i="14" s="1"/>
  <c r="J5" i="48"/>
  <c r="Q5" i="48" s="1"/>
  <c r="B77" i="14"/>
  <c r="B9" i="59" s="1"/>
  <c r="O8" i="18"/>
  <c r="E63" i="14"/>
  <c r="E10" i="18"/>
  <c r="B15" i="48"/>
  <c r="F89" i="14"/>
  <c r="E20" i="18"/>
  <c r="C16" i="14"/>
  <c r="C27" i="14" s="1"/>
  <c r="B3" i="6" s="1"/>
  <c r="B17" i="59" l="1"/>
  <c r="K13" i="14"/>
  <c r="J8" i="48"/>
  <c r="J26" i="48" s="1"/>
  <c r="J22" i="16"/>
  <c r="K43" i="14" s="1"/>
  <c r="K16" i="14"/>
  <c r="K27" i="14" s="1"/>
  <c r="F63" i="14"/>
  <c r="D19" i="59"/>
  <c r="D20" i="59" s="1"/>
  <c r="Q89" i="14"/>
  <c r="D90" i="14"/>
  <c r="I89" i="14"/>
  <c r="I20" i="18"/>
  <c r="M19" i="59"/>
  <c r="M20" i="59" s="1"/>
  <c r="M90" i="14"/>
  <c r="I8" i="59"/>
  <c r="I10" i="59" s="1"/>
  <c r="B76" i="14"/>
  <c r="I78" i="14"/>
  <c r="C76" i="14"/>
  <c r="J10" i="18"/>
  <c r="F19" i="59"/>
  <c r="F20" i="59" s="1"/>
  <c r="F90" i="14"/>
  <c r="J89" i="14"/>
  <c r="J20" i="18"/>
  <c r="O63" i="14"/>
  <c r="O9" i="18"/>
  <c r="O10" i="18" s="1"/>
  <c r="R10" i="14"/>
  <c r="J8" i="59"/>
  <c r="J10" i="59" s="1"/>
  <c r="J78" i="14"/>
  <c r="K46" i="14"/>
  <c r="K61" i="14" s="1"/>
  <c r="E26" i="48"/>
  <c r="E33" i="48" s="1"/>
  <c r="E15" i="48"/>
  <c r="J23" i="48"/>
  <c r="J33" i="48" s="1"/>
  <c r="J15" i="48"/>
  <c r="C17" i="59"/>
  <c r="G13" i="14"/>
  <c r="G16" i="14" s="1"/>
  <c r="G27" i="14" s="1"/>
  <c r="F8" i="48"/>
  <c r="F22" i="16"/>
  <c r="G43" i="14" s="1"/>
  <c r="G46" i="14" s="1"/>
  <c r="G61" i="14" s="1"/>
  <c r="E19" i="59"/>
  <c r="E20" i="59" s="1"/>
  <c r="E90" i="14"/>
  <c r="D9" i="59"/>
  <c r="D10" i="59" s="1"/>
  <c r="Q77" i="14"/>
  <c r="C77" i="14"/>
  <c r="C9" i="59" s="1"/>
  <c r="D78" i="14"/>
  <c r="P19" i="59" l="1"/>
  <c r="P20" i="59" s="1"/>
  <c r="Q90" i="14"/>
  <c r="B17" i="6" s="1"/>
  <c r="B22" i="6" s="1"/>
  <c r="G63" i="14"/>
  <c r="J19" i="59"/>
  <c r="J20" i="59" s="1"/>
  <c r="J90" i="14"/>
  <c r="C8" i="59"/>
  <c r="C10" i="59" s="1"/>
  <c r="C78" i="14"/>
  <c r="I19" i="59"/>
  <c r="I20" i="59" s="1"/>
  <c r="B89" i="14"/>
  <c r="I90" i="14"/>
  <c r="C89" i="14"/>
  <c r="P9" i="59"/>
  <c r="P10" i="59" s="1"/>
  <c r="Q78" i="14"/>
  <c r="B9" i="6" s="1"/>
  <c r="K63" i="14"/>
  <c r="F26" i="48"/>
  <c r="F33" i="48" s="1"/>
  <c r="Q8" i="48"/>
  <c r="Q15" i="48" s="1"/>
  <c r="F15" i="48"/>
  <c r="B8" i="59"/>
  <c r="B10" i="59" s="1"/>
  <c r="B78" i="14"/>
  <c r="B4" i="6" s="1"/>
  <c r="B12" i="6" s="1"/>
  <c r="R13" i="14"/>
  <c r="R16" i="14" s="1"/>
  <c r="R27" i="14" s="1"/>
  <c r="B19" i="59" l="1"/>
  <c r="B20" i="59" s="1"/>
  <c r="B90" i="14"/>
  <c r="C29" i="20"/>
  <c r="C16" i="22"/>
  <c r="C10" i="17"/>
  <c r="C12" i="17" s="1"/>
  <c r="D54" i="14" s="1"/>
  <c r="D56" i="14" s="1"/>
  <c r="C17" i="49"/>
  <c r="C56" i="22"/>
  <c r="C58" i="22" s="1"/>
  <c r="D49" i="14" s="1"/>
  <c r="D52" i="14" s="1"/>
  <c r="C18" i="15"/>
  <c r="C20" i="15" s="1"/>
  <c r="D40" i="14" s="1"/>
  <c r="C17" i="19"/>
  <c r="C19" i="19" s="1"/>
  <c r="D39" i="14" s="1"/>
  <c r="C10" i="13"/>
  <c r="C22" i="59"/>
  <c r="C20" i="16"/>
  <c r="C22" i="16" s="1"/>
  <c r="D43" i="14" s="1"/>
  <c r="C55" i="14"/>
  <c r="R55" i="14" s="1"/>
  <c r="B18" i="15"/>
  <c r="B20" i="15" s="1"/>
  <c r="B20" i="16"/>
  <c r="B22" i="16" s="1"/>
  <c r="C43" i="14" s="1"/>
  <c r="B10" i="9"/>
  <c r="B12" i="9" s="1"/>
  <c r="C12" i="59"/>
  <c r="B17" i="19"/>
  <c r="B19" i="19" s="1"/>
  <c r="C39" i="14" s="1"/>
  <c r="B17" i="49"/>
  <c r="B19" i="49" s="1"/>
  <c r="C42" i="14" s="1"/>
  <c r="R42" i="14" s="1"/>
  <c r="B29" i="20"/>
  <c r="B31" i="20" s="1"/>
  <c r="C48" i="14" s="1"/>
  <c r="B56" i="22"/>
  <c r="B58" i="22" s="1"/>
  <c r="C49" i="14" s="1"/>
  <c r="R49" i="14" s="1"/>
  <c r="B10" i="17"/>
  <c r="B12" i="17" s="1"/>
  <c r="C54" i="14" s="1"/>
  <c r="B16" i="22"/>
  <c r="B18" i="22" s="1"/>
  <c r="C50" i="14" s="1"/>
  <c r="R50" i="14" s="1"/>
  <c r="B10" i="13"/>
  <c r="C19" i="59"/>
  <c r="C20" i="59" s="1"/>
  <c r="C90" i="14"/>
  <c r="R48" i="14" l="1"/>
  <c r="R52" i="14" s="1"/>
  <c r="C52" i="14"/>
  <c r="R43" i="14"/>
  <c r="B12" i="13"/>
  <c r="C41" i="14" s="1"/>
  <c r="R41" i="14" s="1"/>
  <c r="B17" i="48"/>
  <c r="R54" i="14"/>
  <c r="R56" i="14" s="1"/>
  <c r="C56" i="14"/>
  <c r="R39" i="14"/>
  <c r="R46" i="14" s="1"/>
  <c r="R61" i="14" s="1"/>
  <c r="C40" i="14"/>
  <c r="R40" i="14" s="1"/>
  <c r="C12" i="13"/>
  <c r="D41" i="14" s="1"/>
  <c r="D46" i="14" s="1"/>
  <c r="D61" i="14" s="1"/>
  <c r="D63" i="14" s="1"/>
  <c r="C17" i="48"/>
  <c r="C30" i="48" l="1"/>
  <c r="C23" i="48"/>
  <c r="C24" i="48"/>
  <c r="C32" i="48"/>
  <c r="C22" i="48"/>
  <c r="C28" i="48"/>
  <c r="C31" i="48"/>
  <c r="C26" i="48"/>
  <c r="C29" i="48"/>
  <c r="C27" i="48"/>
  <c r="C25" i="48"/>
  <c r="C46" i="14"/>
  <c r="C61" i="14" s="1"/>
  <c r="C63" i="14" s="1"/>
  <c r="B24" i="48"/>
  <c r="Q24" i="48" s="1"/>
  <c r="B25" i="48"/>
  <c r="Q25" i="48" s="1"/>
  <c r="B31" i="48"/>
  <c r="Q31" i="48" s="1"/>
  <c r="B30" i="48"/>
  <c r="Q30" i="48" s="1"/>
  <c r="B29" i="48"/>
  <c r="Q29" i="48" s="1"/>
  <c r="B22" i="48"/>
  <c r="B32" i="48"/>
  <c r="B28" i="48"/>
  <c r="Q28" i="48" s="1"/>
  <c r="B23" i="48"/>
  <c r="Q23" i="48" s="1"/>
  <c r="B27" i="48"/>
  <c r="Q27" i="48" s="1"/>
  <c r="B26" i="48"/>
  <c r="Q26" i="48" l="1"/>
  <c r="Q32" i="48"/>
  <c r="Q22" i="48"/>
  <c r="Q33" i="48" s="1"/>
  <c r="B33" i="48"/>
  <c r="C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<sst xmlns="http://schemas.openxmlformats.org/spreadsheetml/2006/main" count="2344" uniqueCount="831">
  <si>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</si>
  <si>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</si>
  <si>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</si>
  <si>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</si>
  <si>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</si>
  <si>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</si>
  <si>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</si>
  <si>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</si>
  <si>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</si>
  <si>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</si>
  <si>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</si>
  <si>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</si>
  <si>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</si>
  <si>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</si>
  <si>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</si>
  <si>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</si>
  <si>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</si>
  <si>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</si>
  <si>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</si>
  <si>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</si>
  <si>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</si>
  <si>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</si>
  <si>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</si>
  <si>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</si>
  <si>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</si>
  <si>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</si>
  <si>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</si>
  <si>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</si>
  <si>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</si>
  <si>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</si>
  <si>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</si>
  <si>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</si>
  <si>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</si>
  <si>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</si>
  <si>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</si>
  <si>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</si>
  <si>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</si>
  <si>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</si>
  <si>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</si>
  <si>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</si>
  <si>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</si>
  <si>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</si>
  <si>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</si>
  <si>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</si>
  <si>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</si>
  <si>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</si>
  <si>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</si>
  <si>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</si>
  <si>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</si>
  <si>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</si>
  <si>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</si>
  <si>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</si>
  <si>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</si>
  <si>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</si>
  <si>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</si>
  <si>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</si>
  <si>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</si>
  <si>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</si>
  <si>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</si>
  <si>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</si>
  <si>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</si>
  <si>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</si>
  <si>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</si>
  <si>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</si>
  <si>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</si>
  <si>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</si>
  <si>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</si>
  <si>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</si>
  <si>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</si>
  <si>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</si>
  <si>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</si>
  <si>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</si>
  <si>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</si>
  <si>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</si>
  <si>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</si>
  <si>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</si>
  <si>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</si>
  <si>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</si>
  <si>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</si>
  <si>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</si>
  <si>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</si>
  <si>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</si>
  <si>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</si>
  <si>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</si>
  <si>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</si>
  <si>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</si>
  <si>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</si>
  <si>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</si>
  <si>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</si>
  <si>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</si>
  <si>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</si>
  <si>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</si>
  <si>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</si>
  <si>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</si>
  <si>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</si>
  <si>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</si>
  <si>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</si>
  <si>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</si>
  <si>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</si>
  <si>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</si>
  <si>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</si>
  <si>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</si>
  <si>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</si>
  <si>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</si>
  <si>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</si>
  <si>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</si>
  <si>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</si>
  <si>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</si>
  <si>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</si>
  <si>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</si>
  <si>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</si>
  <si>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</si>
  <si>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</si>
  <si>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</si>
  <si>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</si>
  <si>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</si>
  <si>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</si>
  <si>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</si>
  <si>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</si>
  <si>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</si>
  <si>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</si>
  <si>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</si>
  <si>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</si>
  <si>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</si>
  <si>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</si>
  <si>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</si>
  <si>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</si>
  <si>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</si>
  <si>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</si>
  <si>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</si>
  <si>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</si>
  <si>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</si>
  <si>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</si>
  <si>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</si>
  <si>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</si>
  <si>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</si>
  <si>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</si>
  <si>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</si>
  <si>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</si>
  <si>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</si>
  <si>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</si>
  <si>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</si>
  <si>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</si>
  <si>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</si>
  <si>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</si>
  <si>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</si>
  <si>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</si>
  <si>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</si>
  <si>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</si>
  <si>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</si>
  <si>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</si>
  <si>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</si>
  <si>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</si>
  <si>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</si>
  <si>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</si>
  <si>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</si>
  <si>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</si>
  <si>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</si>
  <si>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</si>
  <si>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</si>
  <si>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</si>
  <si>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</si>
  <si>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</si>
  <si>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</si>
  <si>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</si>
  <si>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</si>
  <si>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</si>
  <si>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</si>
  <si>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</si>
  <si>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</si>
  <si>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</si>
  <si>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</si>
  <si>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</si>
  <si>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</si>
  <si>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</si>
  <si>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</si>
  <si>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</si>
  <si>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</si>
  <si>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</si>
  <si>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</si>
  <si>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</si>
  <si>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</si>
  <si>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</si>
  <si>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</si>
  <si>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</si>
  <si>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</si>
  <si>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</si>
  <si>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</si>
  <si>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</si>
  <si>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</si>
  <si>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</si>
  <si>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</si>
  <si>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</si>
  <si>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</si>
  <si>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</si>
  <si>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</si>
  <si>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</si>
  <si>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</si>
  <si>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</si>
  <si>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</si>
  <si>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</si>
  <si>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</si>
  <si>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</si>
  <si>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</si>
  <si>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</si>
  <si>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</si>
  <si>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</si>
  <si>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</si>
  <si>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</si>
  <si>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</si>
  <si>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</si>
  <si>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</si>
  <si>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</si>
  <si>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</si>
  <si>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</si>
  <si>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</si>
  <si>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</si>
  <si>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</si>
  <si>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</si>
  <si>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</si>
  <si>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</si>
  <si>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</si>
  <si>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</si>
  <si>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</si>
  <si>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</si>
  <si>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</si>
  <si>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</si>
  <si>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</si>
  <si>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</si>
  <si>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</si>
  <si>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</si>
  <si>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</si>
  <si>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</si>
  <si>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</si>
  <si>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</si>
  <si>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</si>
  <si>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</si>
  <si>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</si>
  <si>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</si>
  <si>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</si>
  <si>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</si>
  <si>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</si>
  <si>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</si>
  <si>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</si>
  <si>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</si>
  <si>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</si>
  <si>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</si>
  <si>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</si>
  <si>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</si>
  <si>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</si>
  <si>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</si>
  <si>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</si>
  <si>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</si>
  <si>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</si>
  <si>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</si>
  <si>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</si>
  <si>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</si>
  <si>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</si>
  <si>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</si>
  <si>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</si>
  <si>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</si>
  <si>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</si>
  <si>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</si>
  <si>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</si>
  <si>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</si>
  <si>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</si>
  <si>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</si>
  <si>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</si>
  <si>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</si>
  <si>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</si>
  <si>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</si>
  <si>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</si>
  <si>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</si>
  <si>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</si>
  <si>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</si>
  <si>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</si>
  <si>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</si>
  <si>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</si>
  <si>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</si>
  <si>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</si>
  <si>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</si>
  <si>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</si>
  <si>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</si>
  <si>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</si>
  <si>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</si>
  <si>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</si>
  <si>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</si>
  <si>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</si>
  <si>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</si>
  <si>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</si>
  <si>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</si>
  <si>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</si>
  <si>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</si>
  <si>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</si>
  <si>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</si>
  <si>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</si>
  <si>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</si>
  <si>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</si>
  <si>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</si>
  <si>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</si>
  <si>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</si>
  <si>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</si>
  <si>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</si>
  <si>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</si>
  <si>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</si>
  <si>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</si>
  <si>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</si>
  <si>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</si>
  <si>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</si>
  <si>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</si>
  <si>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</si>
  <si>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</si>
  <si>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</si>
  <si>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</si>
  <si>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</si>
  <si>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</si>
  <si>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</si>
  <si>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</si>
  <si>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</si>
  <si>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</si>
  <si>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</si>
  <si>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</si>
  <si>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</si>
  <si>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</si>
  <si>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</si>
  <si>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</si>
  <si>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</si>
  <si>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</si>
  <si>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</si>
  <si>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</si>
  <si>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</si>
  <si>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</si>
  <si>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</si>
  <si>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</si>
  <si>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</si>
  <si>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</si>
  <si>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</si>
  <si>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</si>
  <si>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</si>
  <si>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</si>
  <si>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</si>
  <si>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</si>
  <si>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</si>
  <si>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</si>
  <si>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</si>
  <si>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</si>
  <si>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</si>
  <si>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</si>
  <si>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</si>
  <si>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</si>
  <si>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</si>
  <si>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</si>
  <si>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</si>
  <si>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</si>
  <si>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</si>
  <si>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</si>
  <si>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</si>
  <si>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</si>
  <si>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</si>
  <si>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</si>
  <si>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</si>
  <si>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</si>
  <si>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</si>
  <si>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</si>
  <si>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</si>
  <si>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</si>
  <si>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</si>
  <si>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</si>
  <si>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</si>
  <si>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</si>
  <si>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</si>
  <si>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</si>
  <si>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</si>
  <si>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</si>
  <si>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</si>
  <si>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</si>
  <si>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</si>
  <si>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</si>
  <si>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</si>
  <si>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</si>
  <si>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</si>
  <si>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</si>
  <si>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</si>
  <si>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</si>
  <si>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</si>
  <si>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</si>
  <si>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</si>
  <si>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</si>
  <si>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</si>
  <si>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</si>
  <si>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</si>
  <si>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</si>
  <si>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</si>
  <si>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</si>
  <si>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</si>
  <si>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</si>
  <si>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</si>
  <si>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</si>
  <si>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</si>
  <si>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</si>
  <si>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</si>
  <si>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</si>
  <si>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</si>
  <si>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</si>
  <si>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</si>
  <si>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</si>
  <si>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</si>
  <si>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</si>
  <si>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</si>
  <si>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</si>
  <si>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</si>
  <si>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</si>
  <si>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</si>
  <si>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</si>
  <si>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</si>
  <si>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</si>
  <si>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</si>
  <si>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</si>
  <si>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</si>
  <si>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</si>
  <si>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</si>
  <si>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</si>
  <si>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</si>
  <si>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</si>
  <si>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</si>
  <si>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</si>
  <si>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</si>
  <si>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</si>
  <si>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</si>
  <si>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</si>
  <si>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</si>
  <si>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</si>
  <si>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</si>
  <si>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</si>
  <si>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</si>
  <si>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</si>
  <si>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</si>
  <si>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</si>
  <si>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</si>
  <si>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</si>
  <si>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</si>
  <si>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</si>
  <si>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</si>
  <si>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</si>
  <si>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</si>
  <si>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</si>
  <si>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</si>
  <si>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</si>
  <si>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</si>
  <si>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</si>
  <si>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</si>
  <si>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</si>
  <si>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</si>
  <si>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</si>
  <si>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</si>
  <si>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</si>
  <si>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</si>
  <si>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</si>
  <si>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</si>
  <si>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</si>
  <si>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</si>
  <si>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</si>
  <si>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</si>
  <si>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</si>
  <si>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</si>
  <si>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</si>
  <si>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</si>
  <si>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</si>
  <si>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</si>
  <si>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</si>
  <si>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</si>
  <si>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</si>
  <si>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</si>
  <si>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</si>
  <si>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</si>
  <si>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</si>
  <si>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</si>
  <si>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</si>
  <si>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</si>
  <si>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</si>
  <si>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</si>
  <si>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</si>
  <si>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</si>
  <si>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</si>
  <si>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</si>
  <si>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</si>
  <si>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</si>
  <si>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</si>
  <si>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</si>
  <si>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</si>
  <si>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</si>
  <si>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</si>
  <si>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</si>
  <si>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</si>
  <si>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</si>
  <si>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</si>
  <si>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</si>
  <si>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</si>
  <si>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</si>
  <si>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</si>
  <si>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</si>
  <si>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</si>
  <si>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</si>
  <si>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</si>
  <si>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</si>
  <si>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</si>
  <si>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</si>
  <si>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</si>
  <si>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</si>
  <si>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</si>
  <si>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</si>
  <si>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</si>
  <si>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</si>
  <si>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</si>
  <si>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</si>
  <si>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</si>
  <si>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</si>
  <si>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</si>
  <si>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</si>
  <si>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</si>
  <si>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</si>
  <si>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</si>
  <si>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</si>
  <si>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</si>
  <si>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</si>
  <si>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</si>
  <si>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</si>
  <si>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</si>
  <si>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</si>
  <si>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</si>
  <si>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</si>
  <si>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</si>
  <si>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</si>
  <si>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</si>
  <si>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</si>
  <si>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</si>
  <si>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</si>
  <si>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</si>
  <si>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</si>
  <si>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</si>
  <si>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</si>
  <si>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</si>
  <si>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</si>
  <si>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</si>
  <si>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</si>
  <si>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</si>
  <si>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</si>
  <si>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</si>
  <si>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</si>
  <si>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</si>
  <si>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</si>
  <si>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</si>
  <si>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</si>
  <si>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</si>
  <si>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</si>
  <si>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</si>
  <si>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</si>
  <si>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</si>
  <si>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</si>
  <si>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</si>
  <si>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</si>
  <si>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</si>
  <si>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</si>
  <si>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</si>
  <si>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</si>
  <si>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</si>
  <si>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</si>
  <si>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</si>
  <si>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</si>
  <si>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</si>
  <si>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</si>
  <si>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</si>
  <si>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</si>
  <si>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</si>
  <si>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</si>
  <si>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</si>
  <si>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</si>
  <si>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</si>
  <si>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</si>
  <si>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</si>
  <si>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</si>
  <si>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</si>
  <si>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</si>
  <si>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</si>
  <si>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</si>
  <si>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</si>
  <si>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</si>
  <si>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</si>
  <si>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</si>
  <si>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</si>
  <si>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</si>
  <si>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</si>
  <si>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</si>
  <si>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</si>
  <si>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</si>
  <si>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</si>
  <si>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</si>
  <si>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</si>
  <si>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</si>
  <si>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</si>
  <si>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</si>
  <si>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</si>
  <si>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</si>
  <si>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</si>
  <si>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</si>
  <si>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</si>
  <si>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</si>
  <si>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</si>
  <si>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</si>
  <si>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</si>
  <si>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</si>
  <si>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</si>
  <si>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</si>
  <si>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</si>
  <si>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</si>
  <si>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</si>
  <si>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</si>
  <si>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</si>
  <si>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</si>
  <si>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</si>
  <si>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</si>
  <si>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</si>
  <si>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</si>
  <si>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</si>
  <si>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</si>
  <si>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</si>
  <si>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</si>
  <si>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</si>
  <si>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</si>
  <si>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</si>
  <si>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</si>
  <si>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</si>
  <si>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</si>
  <si>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</si>
  <si>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</si>
  <si>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</si>
  <si>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</si>
  <si>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</si>
  <si>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</si>
  <si>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</si>
  <si>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</si>
  <si>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</si>
  <si>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</si>
  <si>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</si>
  <si>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</si>
  <si>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</si>
  <si>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</si>
  <si>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</si>
  <si>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</si>
  <si>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</si>
  <si>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</si>
  <si>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</si>
  <si>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</si>
  <si>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</si>
  <si>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</si>
  <si>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</si>
  <si>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</si>
  <si>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</si>
  <si>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</si>
  <si>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</si>
  <si>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</si>
  <si>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</si>
  <si>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</si>
  <si>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</si>
  <si>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</si>
  <si>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</si>
  <si>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</si>
  <si>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</si>
  <si>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</si>
  <si>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</si>
  <si>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</si>
  <si>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</si>
  <si>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</si>
  <si>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</si>
  <si>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</si>
  <si>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</si>
  <si>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</si>
  <si>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</si>
  <si>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</si>
  <si>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</si>
  <si>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</si>
  <si>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</si>
  <si>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</si>
  <si>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</si>
  <si>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</si>
  <si>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</si>
  <si>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</si>
  <si>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</si>
  <si>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</si>
  <si>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</si>
  <si>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</si>
  <si>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</si>
  <si>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</si>
  <si>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</si>
  <si>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</si>
  <si>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</si>
  <si>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</si>
  <si>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</si>
  <si>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</si>
  <si>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</si>
  <si>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</si>
  <si>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</si>
  <si>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</si>
  <si>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</si>
  <si>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</si>
  <si>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</si>
  <si>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</si>
  <si>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</si>
  <si>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</si>
  <si>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</si>
  <si>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</si>
  <si>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</si>
  <si>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</si>
  <si>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</si>
  <si>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</si>
  <si>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</si>
  <si>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</si>
  <si>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</si>
  <si>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</si>
  <si>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</si>
  <si>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</si>
  <si>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</si>
  <si>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</si>
  <si>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</si>
  <si>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</si>
  <si>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</si>
  <si>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</si>
  <si>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</si>
  <si>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</si>
  <si>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</si>
  <si>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</si>
  <si>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</si>
  <si>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</si>
  <si>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</si>
  <si>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</si>
  <si>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</si>
  <si>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</si>
  <si>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</si>
  <si>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</si>
  <si>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</si>
  <si>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</si>
  <si>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</si>
  <si>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</si>
  <si>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</si>
  <si>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</si>
  <si>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</si>
  <si>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</si>
  <si>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</si>
  <si>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</si>
  <si>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</si>
  <si>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</si>
  <si>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</si>
  <si>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</si>
  <si>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</si>
  <si>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</si>
  <si>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</si>
  <si>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</si>
  <si>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</si>
  <si>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</si>
  <si>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</si>
  <si>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</si>
  <si>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</si>
  <si>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</si>
  <si>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</si>
  <si>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</si>
  <si>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</si>
  <si>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</si>
  <si>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</si>
  <si>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</si>
  <si>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</si>
  <si>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</si>
  <si>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</si>
  <si>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</si>
  <si>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</si>
  <si>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</si>
  <si>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</si>
  <si>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</si>
  <si>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</si>
  <si>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</si>
  <si>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</si>
  <si>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</si>
  <si>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</si>
  <si>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</si>
  <si>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</si>
  <si>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</si>
  <si>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</si>
  <si>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</si>
  <si>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</si>
  <si>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</si>
  <si>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</si>
  <si>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</si>
  <si>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</si>
  <si>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</si>
  <si>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</si>
  <si>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</si>
  <si>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</si>
  <si>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</si>
  <si>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</si>
  <si>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</si>
  <si>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</si>
  <si>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</si>
  <si>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</si>
  <si>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</si>
  <si>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</si>
  <si>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</si>
  <si>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</si>
  <si>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</si>
  <si>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</si>
  <si>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</si>
  <si>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</si>
  <si>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</si>
  <si>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</si>
  <si>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</si>
  <si>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</si>
  <si>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</si>
  <si>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</si>
  <si>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</si>
  <si>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</si>
  <si>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</si>
  <si>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</si>
  <si>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</si>
  <si>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</si>
  <si>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</si>
  <si>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</si>
  <si>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</si>
  <si>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</si>
  <si>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</si>
  <si>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11002</t>
  </si>
  <si>
    <t>ANTWERPEN</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</si>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</sst>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E17A1B2-BA96-4C8A-94FD-F23510A2F8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3505875.463924448</c:v>
                </c:pt>
                <c:pt idx="1">
                  <c:v>2679836.0436604563</c:v>
                </c:pt>
                <c:pt idx="2">
                  <c:v>27200.548138062903</c:v>
                </c:pt>
                <c:pt idx="3">
                  <c:v>6598.7215257094249</c:v>
                </c:pt>
                <c:pt idx="4">
                  <c:v>816480.74881774012</c:v>
                </c:pt>
                <c:pt idx="5">
                  <c:v>3065304.5965668838</c:v>
                </c:pt>
                <c:pt idx="6">
                  <c:v>75481.993855559238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3505875.463924448</c:v>
                </c:pt>
                <c:pt idx="1">
                  <c:v>2679836.0436604563</c:v>
                </c:pt>
                <c:pt idx="2">
                  <c:v>27200.548138062903</c:v>
                </c:pt>
                <c:pt idx="3">
                  <c:v>6598.7215257094249</c:v>
                </c:pt>
                <c:pt idx="4">
                  <c:v>816480.74881774012</c:v>
                </c:pt>
                <c:pt idx="5">
                  <c:v>3065304.5965668838</c:v>
                </c:pt>
                <c:pt idx="6">
                  <c:v>75481.993855559238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694733.54357727524</c:v>
                </c:pt>
                <c:pt idx="1">
                  <c:v>530539.80437159492</c:v>
                </c:pt>
                <c:pt idx="2">
                  <c:v>5041.3043119690356</c:v>
                </c:pt>
                <c:pt idx="3">
                  <c:v>1514.4317211240145</c:v>
                </c:pt>
                <c:pt idx="4">
                  <c:v>158704.01609192917</c:v>
                </c:pt>
                <c:pt idx="5">
                  <c:v>727701.73262191587</c:v>
                </c:pt>
                <c:pt idx="6">
                  <c:v>16313.46911800479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694733.54357727524</c:v>
                </c:pt>
                <c:pt idx="1">
                  <c:v>530539.80437159492</c:v>
                </c:pt>
                <c:pt idx="2">
                  <c:v>5041.3043119690356</c:v>
                </c:pt>
                <c:pt idx="3">
                  <c:v>1514.4317211240145</c:v>
                </c:pt>
                <c:pt idx="4">
                  <c:v>158704.01609192917</c:v>
                </c:pt>
                <c:pt idx="5">
                  <c:v>727701.73262191587</c:v>
                </c:pt>
                <c:pt idx="6">
                  <c:v>16313.46911800479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11002</v>
      </c>
      <c r="B6" s="380"/>
      <c r="C6" s="381"/>
    </row>
    <row r="7" spans="1:7" s="378" customFormat="1" ht="15.75" customHeight="1">
      <c r="A7" s="382" t="str">
        <f>txtMunicipality</f>
        <v>ANTWERPEN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0.185338335329887</v>
      </c>
      <c r="C17" s="492">
        <f ca="1">'EF ele_warmte'!B22</f>
        <v>0.22022720494343095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0.185338335329887</v>
      </c>
      <c r="C29" s="493">
        <f ca="1">'EF ele_warmte'!B22</f>
        <v>0.22022720494343095</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236670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1238.1499999999996</v>
      </c>
      <c r="C14" s="323"/>
      <c r="D14" s="323"/>
      <c r="E14" s="323"/>
      <c r="F14" s="323"/>
    </row>
    <row r="15" spans="1:6">
      <c r="A15" s="1266" t="s">
        <v>177</v>
      </c>
      <c r="B15" s="1267">
        <v>5</v>
      </c>
      <c r="C15" s="323"/>
      <c r="D15" s="323"/>
      <c r="E15" s="323"/>
      <c r="F15" s="323"/>
    </row>
    <row r="16" spans="1:6">
      <c r="A16" s="1266" t="s">
        <v>6</v>
      </c>
      <c r="B16" s="1267">
        <v>66</v>
      </c>
      <c r="C16" s="323"/>
      <c r="D16" s="323"/>
      <c r="E16" s="323"/>
      <c r="F16" s="323"/>
    </row>
    <row r="17" spans="1:6">
      <c r="A17" s="1266" t="s">
        <v>7</v>
      </c>
      <c r="B17" s="1267">
        <v>152</v>
      </c>
      <c r="C17" s="323"/>
      <c r="D17" s="323"/>
      <c r="E17" s="323"/>
      <c r="F17" s="323"/>
    </row>
    <row r="18" spans="1:6">
      <c r="A18" s="1266" t="s">
        <v>8</v>
      </c>
      <c r="B18" s="1267">
        <v>183</v>
      </c>
      <c r="C18" s="323"/>
      <c r="D18" s="323"/>
      <c r="E18" s="323"/>
      <c r="F18" s="323"/>
    </row>
    <row r="19" spans="1:6">
      <c r="A19" s="1266" t="s">
        <v>9</v>
      </c>
      <c r="B19" s="1267">
        <v>345</v>
      </c>
      <c r="C19" s="323"/>
      <c r="D19" s="323"/>
      <c r="E19" s="323"/>
      <c r="F19" s="323"/>
    </row>
    <row r="20" spans="1:6">
      <c r="A20" s="1266" t="s">
        <v>10</v>
      </c>
      <c r="B20" s="1267">
        <v>150</v>
      </c>
      <c r="C20" s="323"/>
      <c r="D20" s="323"/>
      <c r="E20" s="323"/>
      <c r="F20" s="323"/>
    </row>
    <row r="21" spans="1:6">
      <c r="A21" s="1266" t="s">
        <v>11</v>
      </c>
      <c r="B21" s="1267">
        <v>0</v>
      </c>
      <c r="C21" s="323"/>
      <c r="D21" s="323"/>
      <c r="E21" s="323"/>
      <c r="F21" s="323"/>
    </row>
    <row r="22" spans="1:6">
      <c r="A22" s="1266" t="s">
        <v>12</v>
      </c>
      <c r="B22" s="1267">
        <v>2</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1112</v>
      </c>
      <c r="C26" s="323"/>
      <c r="D26" s="323"/>
      <c r="E26" s="323"/>
      <c r="F26" s="323"/>
    </row>
    <row r="27" spans="1:6">
      <c r="A27" s="1266" t="s">
        <v>17</v>
      </c>
      <c r="B27" s="1267">
        <v>44</v>
      </c>
      <c r="C27" s="323"/>
      <c r="D27" s="323"/>
      <c r="E27" s="323"/>
      <c r="F27" s="323"/>
    </row>
    <row r="28" spans="1:6">
      <c r="A28" s="1268" t="s">
        <v>18</v>
      </c>
      <c r="B28" s="1269">
        <v>33</v>
      </c>
      <c r="C28" s="323"/>
      <c r="D28" s="323"/>
      <c r="E28" s="323"/>
      <c r="F28" s="323"/>
    </row>
    <row r="29" spans="1:6">
      <c r="A29" s="1268" t="s">
        <v>628</v>
      </c>
      <c r="B29" s="1269">
        <v>123</v>
      </c>
      <c r="C29" s="323"/>
      <c r="D29" s="323"/>
      <c r="E29" s="323"/>
      <c r="F29" s="323"/>
    </row>
    <row r="30" spans="1:6">
      <c r="A30" s="1261" t="s">
        <v>629</v>
      </c>
      <c r="B30" s="1270">
        <v>34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22</v>
      </c>
      <c r="F35" s="1267">
        <v>827802.15165870904</v>
      </c>
    </row>
    <row r="36" spans="1:6">
      <c r="A36" s="1266" t="s">
        <v>24</v>
      </c>
      <c r="B36" s="1266" t="s">
        <v>26</v>
      </c>
      <c r="C36" s="1267">
        <v>56</v>
      </c>
      <c r="D36" s="1267">
        <v>198498546.06389901</v>
      </c>
      <c r="E36" s="1267">
        <v>103</v>
      </c>
      <c r="F36" s="1267">
        <v>5526635.9955208702</v>
      </c>
    </row>
    <row r="37" spans="1:6">
      <c r="A37" s="1266" t="s">
        <v>24</v>
      </c>
      <c r="B37" s="1266" t="s">
        <v>27</v>
      </c>
      <c r="C37" s="1267">
        <v>0</v>
      </c>
      <c r="D37" s="1267">
        <v>0</v>
      </c>
      <c r="E37" s="1267">
        <v>8</v>
      </c>
      <c r="F37" s="1267">
        <v>18575023.749914501</v>
      </c>
    </row>
    <row r="38" spans="1:6">
      <c r="A38" s="1266" t="s">
        <v>24</v>
      </c>
      <c r="B38" s="1266" t="s">
        <v>28</v>
      </c>
      <c r="C38" s="1267">
        <v>3</v>
      </c>
      <c r="D38" s="1267">
        <v>322581.169186607</v>
      </c>
      <c r="E38" s="1267">
        <v>0</v>
      </c>
      <c r="F38" s="1267">
        <v>0</v>
      </c>
    </row>
    <row r="39" spans="1:6">
      <c r="A39" s="1266" t="s">
        <v>29</v>
      </c>
      <c r="B39" s="1266" t="s">
        <v>30</v>
      </c>
      <c r="C39" s="1267">
        <v>184612</v>
      </c>
      <c r="D39" s="1267">
        <v>2035729975.2929852</v>
      </c>
      <c r="E39" s="1267">
        <v>242922</v>
      </c>
      <c r="F39" s="1267">
        <v>582269678.06628203</v>
      </c>
    </row>
    <row r="40" spans="1:6">
      <c r="A40" s="1266" t="s">
        <v>29</v>
      </c>
      <c r="B40" s="1266" t="s">
        <v>28</v>
      </c>
      <c r="C40" s="1267">
        <v>0</v>
      </c>
      <c r="D40" s="1267">
        <v>0</v>
      </c>
      <c r="E40" s="1267">
        <v>0</v>
      </c>
      <c r="F40" s="1267">
        <v>0</v>
      </c>
    </row>
    <row r="41" spans="1:6">
      <c r="A41" s="1266" t="s">
        <v>31</v>
      </c>
      <c r="B41" s="1266" t="s">
        <v>32</v>
      </c>
      <c r="C41" s="1267">
        <v>1845</v>
      </c>
      <c r="D41" s="1267">
        <v>65718429.747860298</v>
      </c>
      <c r="E41" s="1267">
        <v>3640</v>
      </c>
      <c r="F41" s="1267">
        <v>71509305.787102699</v>
      </c>
    </row>
    <row r="42" spans="1:6">
      <c r="A42" s="1266" t="s">
        <v>31</v>
      </c>
      <c r="B42" s="1266" t="s">
        <v>33</v>
      </c>
      <c r="C42" s="1267">
        <v>19</v>
      </c>
      <c r="D42" s="1267">
        <v>10124655.691049401</v>
      </c>
      <c r="E42" s="1267">
        <v>41</v>
      </c>
      <c r="F42" s="1267">
        <v>8049957.3781826301</v>
      </c>
    </row>
    <row r="43" spans="1:6">
      <c r="A43" s="1266" t="s">
        <v>31</v>
      </c>
      <c r="B43" s="1266" t="s">
        <v>34</v>
      </c>
      <c r="C43" s="1267">
        <v>5</v>
      </c>
      <c r="D43" s="1267">
        <v>43391.166834958</v>
      </c>
      <c r="E43" s="1267">
        <v>6</v>
      </c>
      <c r="F43" s="1267">
        <v>3472.4634849965</v>
      </c>
    </row>
    <row r="44" spans="1:6">
      <c r="A44" s="1266" t="s">
        <v>31</v>
      </c>
      <c r="B44" s="1266" t="s">
        <v>35</v>
      </c>
      <c r="C44" s="1267">
        <v>200</v>
      </c>
      <c r="D44" s="1267">
        <v>43396040.377570502</v>
      </c>
      <c r="E44" s="1267">
        <v>338</v>
      </c>
      <c r="F44" s="1267">
        <v>107927562.816662</v>
      </c>
    </row>
    <row r="45" spans="1:6">
      <c r="A45" s="1266" t="s">
        <v>31</v>
      </c>
      <c r="B45" s="1266" t="s">
        <v>36</v>
      </c>
      <c r="C45" s="1267">
        <v>15</v>
      </c>
      <c r="D45" s="1267">
        <v>10708780.098528201</v>
      </c>
      <c r="E45" s="1267">
        <v>39</v>
      </c>
      <c r="F45" s="1267">
        <v>26302442.249605902</v>
      </c>
    </row>
    <row r="46" spans="1:6">
      <c r="A46" s="1266" t="s">
        <v>31</v>
      </c>
      <c r="B46" s="1266" t="s">
        <v>37</v>
      </c>
      <c r="C46" s="1267">
        <v>0</v>
      </c>
      <c r="D46" s="1267">
        <v>0</v>
      </c>
      <c r="E46" s="1267">
        <v>6</v>
      </c>
      <c r="F46" s="1267">
        <v>1494539.6088449601</v>
      </c>
    </row>
    <row r="47" spans="1:6">
      <c r="A47" s="1266" t="s">
        <v>31</v>
      </c>
      <c r="B47" s="1266" t="s">
        <v>38</v>
      </c>
      <c r="C47" s="1267">
        <v>72</v>
      </c>
      <c r="D47" s="1267">
        <v>4886183.7176690605</v>
      </c>
      <c r="E47" s="1267">
        <v>98</v>
      </c>
      <c r="F47" s="1267">
        <v>11277673.2999999</v>
      </c>
    </row>
    <row r="48" spans="1:6">
      <c r="A48" s="1266" t="s">
        <v>31</v>
      </c>
      <c r="B48" s="1266" t="s">
        <v>28</v>
      </c>
      <c r="C48" s="1267">
        <v>1</v>
      </c>
      <c r="D48" s="1267">
        <v>65814.014292315202</v>
      </c>
      <c r="E48" s="1267">
        <v>0</v>
      </c>
      <c r="F48" s="1267">
        <v>0</v>
      </c>
    </row>
    <row r="49" spans="1:6">
      <c r="A49" s="1266" t="s">
        <v>31</v>
      </c>
      <c r="B49" s="1266" t="s">
        <v>39</v>
      </c>
      <c r="C49" s="1267">
        <v>48</v>
      </c>
      <c r="D49" s="1267">
        <v>1709262.07680324</v>
      </c>
      <c r="E49" s="1267">
        <v>89</v>
      </c>
      <c r="F49" s="1267">
        <v>1674077.94138935</v>
      </c>
    </row>
    <row r="50" spans="1:6">
      <c r="A50" s="1266" t="s">
        <v>31</v>
      </c>
      <c r="B50" s="1266" t="s">
        <v>40</v>
      </c>
      <c r="C50" s="1267">
        <v>272</v>
      </c>
      <c r="D50" s="1267">
        <v>249795881.24868</v>
      </c>
      <c r="E50" s="1267">
        <v>371</v>
      </c>
      <c r="F50" s="1267">
        <v>142216837.50862601</v>
      </c>
    </row>
    <row r="51" spans="1:6">
      <c r="A51" s="1266" t="s">
        <v>41</v>
      </c>
      <c r="B51" s="1266" t="s">
        <v>42</v>
      </c>
      <c r="C51" s="1267">
        <v>91</v>
      </c>
      <c r="D51" s="1267">
        <v>3397385.3787768399</v>
      </c>
      <c r="E51" s="1267">
        <v>239</v>
      </c>
      <c r="F51" s="1267">
        <v>748787.35552064097</v>
      </c>
    </row>
    <row r="52" spans="1:6">
      <c r="A52" s="1266" t="s">
        <v>41</v>
      </c>
      <c r="B52" s="1266" t="s">
        <v>28</v>
      </c>
      <c r="C52" s="1267">
        <v>0</v>
      </c>
      <c r="D52" s="1267">
        <v>0</v>
      </c>
      <c r="E52" s="1267">
        <v>0</v>
      </c>
      <c r="F52" s="1267">
        <v>0</v>
      </c>
    </row>
    <row r="53" spans="1:6">
      <c r="A53" s="1266" t="s">
        <v>43</v>
      </c>
      <c r="B53" s="1266" t="s">
        <v>44</v>
      </c>
      <c r="C53" s="1267">
        <v>6580</v>
      </c>
      <c r="D53" s="1267">
        <v>139465886.637683</v>
      </c>
      <c r="E53" s="1267">
        <v>12821</v>
      </c>
      <c r="F53" s="1267">
        <v>44837257.707380101</v>
      </c>
    </row>
    <row r="54" spans="1:6">
      <c r="A54" s="1266" t="s">
        <v>45</v>
      </c>
      <c r="B54" s="1266" t="s">
        <v>46</v>
      </c>
      <c r="C54" s="1267">
        <v>0</v>
      </c>
      <c r="D54" s="1267">
        <v>0</v>
      </c>
      <c r="E54" s="1267">
        <v>23</v>
      </c>
      <c r="F54" s="1267">
        <v>27200548.138062902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1888</v>
      </c>
      <c r="D57" s="1267">
        <v>136120675.69238099</v>
      </c>
      <c r="E57" s="1267">
        <v>2806</v>
      </c>
      <c r="F57" s="1267">
        <v>93242810.105893895</v>
      </c>
    </row>
    <row r="58" spans="1:6">
      <c r="A58" s="1266" t="s">
        <v>48</v>
      </c>
      <c r="B58" s="1266" t="s">
        <v>50</v>
      </c>
      <c r="C58" s="1267">
        <v>1306</v>
      </c>
      <c r="D58" s="1267">
        <v>163786183.732039</v>
      </c>
      <c r="E58" s="1267">
        <v>1974</v>
      </c>
      <c r="F58" s="1267">
        <v>74776260.185453907</v>
      </c>
    </row>
    <row r="59" spans="1:6">
      <c r="A59" s="1266" t="s">
        <v>48</v>
      </c>
      <c r="B59" s="1266" t="s">
        <v>51</v>
      </c>
      <c r="C59" s="1267">
        <v>3862</v>
      </c>
      <c r="D59" s="1267">
        <v>154952896.76658601</v>
      </c>
      <c r="E59" s="1267">
        <v>7552</v>
      </c>
      <c r="F59" s="1267">
        <v>201719719.589151</v>
      </c>
    </row>
    <row r="60" spans="1:6">
      <c r="A60" s="1266" t="s">
        <v>48</v>
      </c>
      <c r="B60" s="1266" t="s">
        <v>52</v>
      </c>
      <c r="C60" s="1267">
        <v>2848</v>
      </c>
      <c r="D60" s="1267">
        <v>149399077.77167699</v>
      </c>
      <c r="E60" s="1267">
        <v>3754</v>
      </c>
      <c r="F60" s="1267">
        <v>94710665.059649199</v>
      </c>
    </row>
    <row r="61" spans="1:6">
      <c r="A61" s="1266" t="s">
        <v>48</v>
      </c>
      <c r="B61" s="1266" t="s">
        <v>53</v>
      </c>
      <c r="C61" s="1267">
        <v>11264</v>
      </c>
      <c r="D61" s="1267">
        <v>932322512.18005598</v>
      </c>
      <c r="E61" s="1267">
        <v>23762</v>
      </c>
      <c r="F61" s="1267">
        <v>494300208.01255798</v>
      </c>
    </row>
    <row r="62" spans="1:6">
      <c r="A62" s="1266" t="s">
        <v>48</v>
      </c>
      <c r="B62" s="1266" t="s">
        <v>54</v>
      </c>
      <c r="C62" s="1267">
        <v>593</v>
      </c>
      <c r="D62" s="1267">
        <v>104987391.867506</v>
      </c>
      <c r="E62" s="1267">
        <v>710</v>
      </c>
      <c r="F62" s="1267">
        <v>46170061.598910801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2175.3118323795002</v>
      </c>
      <c r="E65" s="1267">
        <v>2</v>
      </c>
      <c r="F65" s="1267">
        <v>11342.3647524876</v>
      </c>
    </row>
    <row r="66" spans="1:6">
      <c r="A66" s="1266" t="s">
        <v>55</v>
      </c>
      <c r="B66" s="1266" t="s">
        <v>57</v>
      </c>
      <c r="C66" s="1267">
        <v>22</v>
      </c>
      <c r="D66" s="1267">
        <v>1903051.22971803</v>
      </c>
      <c r="E66" s="1267">
        <v>339</v>
      </c>
      <c r="F66" s="1267">
        <v>18928273.2205001</v>
      </c>
    </row>
    <row r="67" spans="1:6">
      <c r="A67" s="1268" t="s">
        <v>55</v>
      </c>
      <c r="B67" s="1268" t="s">
        <v>58</v>
      </c>
      <c r="C67" s="1267">
        <v>0</v>
      </c>
      <c r="D67" s="1267">
        <v>0</v>
      </c>
      <c r="E67" s="1267">
        <v>12</v>
      </c>
      <c r="F67" s="1267">
        <v>2660404.6449790602</v>
      </c>
    </row>
    <row r="68" spans="1:6">
      <c r="A68" s="1261" t="s">
        <v>55</v>
      </c>
      <c r="B68" s="1261" t="s">
        <v>59</v>
      </c>
      <c r="C68" s="1270">
        <v>111</v>
      </c>
      <c r="D68" s="1270">
        <v>23777711.910757199</v>
      </c>
      <c r="E68" s="1270">
        <v>279</v>
      </c>
      <c r="F68" s="1270">
        <v>56018488.274463698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860396513</v>
      </c>
      <c r="E73" s="441"/>
      <c r="F73" s="323"/>
    </row>
    <row r="74" spans="1:6">
      <c r="A74" s="1266" t="s">
        <v>63</v>
      </c>
      <c r="B74" s="1266" t="s">
        <v>589</v>
      </c>
      <c r="C74" s="1280" t="s">
        <v>591</v>
      </c>
      <c r="D74" s="1281">
        <v>53660098.459041901</v>
      </c>
      <c r="E74" s="441"/>
      <c r="F74" s="323"/>
    </row>
    <row r="75" spans="1:6">
      <c r="A75" s="1266" t="s">
        <v>64</v>
      </c>
      <c r="B75" s="1266" t="s">
        <v>588</v>
      </c>
      <c r="C75" s="1280" t="s">
        <v>592</v>
      </c>
      <c r="D75" s="1281">
        <v>386301241</v>
      </c>
      <c r="E75" s="441"/>
      <c r="F75" s="323"/>
    </row>
    <row r="76" spans="1:6">
      <c r="A76" s="1266" t="s">
        <v>64</v>
      </c>
      <c r="B76" s="1266" t="s">
        <v>589</v>
      </c>
      <c r="C76" s="1280" t="s">
        <v>593</v>
      </c>
      <c r="D76" s="1281">
        <v>13540563.459041905</v>
      </c>
      <c r="E76" s="441"/>
      <c r="F76" s="323"/>
    </row>
    <row r="77" spans="1:6">
      <c r="A77" s="1266" t="s">
        <v>65</v>
      </c>
      <c r="B77" s="1266" t="s">
        <v>588</v>
      </c>
      <c r="C77" s="1280" t="s">
        <v>594</v>
      </c>
      <c r="D77" s="1281">
        <v>1689515497</v>
      </c>
      <c r="E77" s="441"/>
      <c r="F77" s="323"/>
    </row>
    <row r="78" spans="1:6">
      <c r="A78" s="1261" t="s">
        <v>65</v>
      </c>
      <c r="B78" s="1261" t="s">
        <v>589</v>
      </c>
      <c r="C78" s="1261" t="s">
        <v>595</v>
      </c>
      <c r="D78" s="1282">
        <v>320029622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12120817.081916193</v>
      </c>
      <c r="C83" s="441"/>
      <c r="D83" s="323"/>
      <c r="E83" s="323"/>
      <c r="F83" s="323"/>
    </row>
    <row r="84" spans="1:6">
      <c r="A84" s="1261" t="s">
        <v>322</v>
      </c>
      <c r="B84" s="1282">
        <v>9116405.0847916398</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246120.00043632544</v>
      </c>
      <c r="C90" s="323"/>
      <c r="D90" s="323"/>
      <c r="E90" s="323"/>
      <c r="F90" s="323"/>
    </row>
    <row r="91" spans="1:6">
      <c r="A91" s="1266" t="s">
        <v>67</v>
      </c>
      <c r="B91" s="1267">
        <v>29618.203724001607</v>
      </c>
      <c r="C91" s="323"/>
      <c r="D91" s="323"/>
      <c r="E91" s="323"/>
      <c r="F91" s="323"/>
    </row>
    <row r="92" spans="1:6">
      <c r="A92" s="1261" t="s">
        <v>68</v>
      </c>
      <c r="B92" s="1262">
        <v>60631.029765514802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142544</v>
      </c>
      <c r="C97" s="323"/>
      <c r="D97" s="323"/>
      <c r="E97" s="323"/>
      <c r="F97" s="323"/>
    </row>
    <row r="98" spans="1:6">
      <c r="A98" s="1266" t="s">
        <v>71</v>
      </c>
      <c r="B98" s="1267">
        <v>436</v>
      </c>
      <c r="C98" s="323"/>
      <c r="D98" s="323"/>
      <c r="E98" s="323"/>
      <c r="F98" s="323"/>
    </row>
    <row r="99" spans="1:6">
      <c r="A99" s="1266" t="s">
        <v>72</v>
      </c>
      <c r="B99" s="1267">
        <v>504</v>
      </c>
      <c r="C99" s="323"/>
      <c r="D99" s="323"/>
      <c r="E99" s="323"/>
      <c r="F99" s="323"/>
    </row>
    <row r="100" spans="1:6">
      <c r="A100" s="1266" t="s">
        <v>73</v>
      </c>
      <c r="B100" s="1267">
        <v>12353</v>
      </c>
      <c r="C100" s="323"/>
      <c r="D100" s="323"/>
      <c r="E100" s="323"/>
      <c r="F100" s="323"/>
    </row>
    <row r="101" spans="1:6">
      <c r="A101" s="1266" t="s">
        <v>74</v>
      </c>
      <c r="B101" s="1267">
        <v>483</v>
      </c>
      <c r="C101" s="323"/>
      <c r="D101" s="323"/>
      <c r="E101" s="323"/>
      <c r="F101" s="323"/>
    </row>
    <row r="102" spans="1:6">
      <c r="A102" s="1266" t="s">
        <v>75</v>
      </c>
      <c r="B102" s="1267">
        <v>6918</v>
      </c>
      <c r="C102" s="323"/>
      <c r="D102" s="323"/>
      <c r="E102" s="323"/>
      <c r="F102" s="323"/>
    </row>
    <row r="103" spans="1:6">
      <c r="A103" s="1266" t="s">
        <v>76</v>
      </c>
      <c r="B103" s="1267">
        <v>1961</v>
      </c>
      <c r="C103" s="323"/>
      <c r="D103" s="323"/>
      <c r="E103" s="323"/>
      <c r="F103" s="323"/>
    </row>
    <row r="104" spans="1:6">
      <c r="A104" s="1266" t="s">
        <v>77</v>
      </c>
      <c r="B104" s="1267">
        <v>38687</v>
      </c>
      <c r="C104" s="323"/>
      <c r="D104" s="323"/>
      <c r="E104" s="323"/>
      <c r="F104" s="323"/>
    </row>
    <row r="105" spans="1:6">
      <c r="A105" s="1261" t="s">
        <v>78</v>
      </c>
      <c r="B105" s="1270">
        <v>225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2</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26</v>
      </c>
      <c r="C121" s="1267">
        <v>0</v>
      </c>
      <c r="D121" s="323"/>
      <c r="E121" s="323"/>
      <c r="F121" s="323"/>
    </row>
    <row r="122" spans="1:6">
      <c r="A122" s="1266" t="s">
        <v>86</v>
      </c>
      <c r="B122" s="1267">
        <v>5</v>
      </c>
      <c r="C122" s="1267">
        <v>0</v>
      </c>
      <c r="D122" s="323"/>
      <c r="E122" s="323"/>
      <c r="F122" s="323"/>
    </row>
    <row r="123" spans="1:6">
      <c r="A123" s="1266" t="s">
        <v>87</v>
      </c>
      <c r="B123" s="1267">
        <v>171</v>
      </c>
      <c r="C123" s="1267">
        <v>517</v>
      </c>
      <c r="D123" s="323"/>
      <c r="E123" s="323"/>
      <c r="F123" s="323"/>
    </row>
    <row r="124" spans="1:6">
      <c r="A124" s="1268" t="s">
        <v>88</v>
      </c>
      <c r="B124" s="1289">
        <v>0</v>
      </c>
      <c r="C124" s="1289">
        <v>2</v>
      </c>
      <c r="D124" s="323"/>
      <c r="E124" s="323"/>
      <c r="F124" s="323"/>
    </row>
    <row r="125" spans="1:6">
      <c r="A125" s="1261" t="s">
        <v>698</v>
      </c>
      <c r="B125" s="1289">
        <v>12</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1096</v>
      </c>
      <c r="C129" s="323"/>
      <c r="D129" s="323"/>
      <c r="E129" s="323"/>
      <c r="F129" s="323"/>
    </row>
    <row r="130" spans="1:6">
      <c r="A130" s="1266" t="s">
        <v>282</v>
      </c>
      <c r="B130" s="1267">
        <v>19</v>
      </c>
      <c r="C130" s="323"/>
      <c r="D130" s="323"/>
      <c r="E130" s="323"/>
      <c r="F130" s="323"/>
    </row>
    <row r="131" spans="1:6">
      <c r="A131" s="1266" t="s">
        <v>283</v>
      </c>
      <c r="B131" s="1267">
        <v>46</v>
      </c>
      <c r="C131" s="323"/>
      <c r="D131" s="323"/>
      <c r="E131" s="323"/>
      <c r="F131" s="323"/>
    </row>
    <row r="132" spans="1:6">
      <c r="A132" s="1261" t="s">
        <v>284</v>
      </c>
      <c r="B132" s="1262">
        <v>115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2125574.6728545264</v>
      </c>
      <c r="C3" s="43" t="s">
        <v>163</v>
      </c>
      <c r="D3" s="43"/>
      <c r="E3" s="153"/>
      <c r="F3" s="43"/>
      <c r="G3" s="43"/>
      <c r="H3" s="43"/>
      <c r="I3" s="43"/>
      <c r="J3" s="43"/>
      <c r="K3" s="96"/>
    </row>
    <row r="4" spans="1:11">
      <c r="A4" s="348" t="s">
        <v>164</v>
      </c>
      <c r="B4" s="49">
        <f>IF(ISERROR('SEAP template'!B78+'SEAP template'!C78),0,'SEAP template'!B78+'SEAP template'!C78)</f>
        <v>354504.62659395934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2543.991262641719</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0.185338335329887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4306.7265156841167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19555.833334897801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0.22022720494343095</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27200.548138062903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27200.548138062903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0.185338335329887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5041.3043119690356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582269.67806628207</v>
      </c>
      <c r="C5" s="17">
        <f>IF(ISERROR('Eigen informatie GS &amp; warmtenet'!B59),0,'Eigen informatie GS &amp; warmtenet'!B59)</f>
        <v>0</v>
      </c>
      <c r="D5" s="30">
        <f>(SUM(HH_hh_gas_kWh,HH_rest_gas_kWh)/1000)*0.903</f>
        <v>1838264.1676895656</v>
      </c>
      <c r="E5" s="17">
        <f>B32*B41</f>
        <v>57720.207583784373</v>
      </c>
      <c r="F5" s="17">
        <f>B36*B45</f>
        <v>731230.66593456117</v>
      </c>
      <c r="G5" s="18"/>
      <c r="H5" s="17"/>
      <c r="I5" s="17"/>
      <c r="J5" s="17">
        <f>B35*B44+C35*C44</f>
        <v>4680.2976225826988</v>
      </c>
      <c r="K5" s="17"/>
      <c r="L5" s="17"/>
      <c r="M5" s="17"/>
      <c r="N5" s="17">
        <f>B34*B43+C34*C43</f>
        <v>255875.43841736222</v>
      </c>
      <c r="O5" s="17">
        <f>B52*B53*B54</f>
        <v>3204.092524310056</v>
      </c>
      <c r="P5" s="17">
        <f>B60*B61*B62/1000-B60*B61*B62/1000/B63</f>
        <v>3012.712361997917</v>
      </c>
    </row>
    <row r="6" spans="1:16">
      <c r="A6" s="16" t="s">
        <v>556</v>
      </c>
      <c r="B6" s="734">
        <f>kWh_PV_kleiner_dan_10kW</f>
        <v>29618.203724001607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611887.88179028372</v>
      </c>
      <c r="C8" s="21">
        <f>C5</f>
        <v>0</v>
      </c>
      <c r="D8" s="21">
        <f>D5</f>
        <v>1838264.1676895656</v>
      </c>
      <c r="E8" s="21">
        <f>E5</f>
        <v>57720.207583784373</v>
      </c>
      <c r="F8" s="21">
        <f>F5</f>
        <v>731230.66593456117</v>
      </c>
      <c r="G8" s="21"/>
      <c r="H8" s="21"/>
      <c r="I8" s="21"/>
      <c r="J8" s="21">
        <f>J5</f>
        <v>4680.2976225826988</v>
      </c>
      <c r="K8" s="21"/>
      <c r="L8" s="21">
        <f>L5</f>
        <v>0</v>
      </c>
      <c r="M8" s="21">
        <f>M5</f>
        <v>0</v>
      </c>
      <c r="N8" s="21">
        <f>N5</f>
        <v>255875.43841736222</v>
      </c>
      <c r="O8" s="21">
        <f>O5</f>
        <v>3204.092524310056</v>
      </c>
      <c r="P8" s="21">
        <f>P5</f>
        <v>3012.712361997917</v>
      </c>
    </row>
    <row r="9" spans="1:16">
      <c r="B9" s="19"/>
      <c r="C9" s="19"/>
      <c r="D9" s="253"/>
      <c r="E9" s="19"/>
      <c r="F9" s="19"/>
      <c r="G9" s="19"/>
      <c r="H9" s="19"/>
      <c r="I9" s="19"/>
      <c r="J9" s="19"/>
      <c r="K9" s="19"/>
      <c r="L9" s="19"/>
      <c r="M9" s="19"/>
      <c r="N9" s="19"/>
      <c r="O9" s="19"/>
      <c r="P9" s="19"/>
    </row>
    <row r="10" spans="1:16">
      <c r="A10" s="24" t="s">
        <v>207</v>
      </c>
      <c r="B10" s="25">
        <f ca="1">'EF ele_warmte'!B12</f>
        <v>0.185338335329887</v>
      </c>
      <c r="C10" s="25">
        <f ca="1">'EF ele_warmte'!B22</f>
        <v>0.22022720494343095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113406.28141954186</v>
      </c>
      <c r="C12" s="23">
        <f ca="1">C10*C8</f>
        <v>0</v>
      </c>
      <c r="D12" s="23">
        <f>D8*D10</f>
        <v>371329.36187329225</v>
      </c>
      <c r="E12" s="23">
        <f>E10*E8</f>
        <v>13102.487121519052</v>
      </c>
      <c r="F12" s="23">
        <f>F10*F8</f>
        <v>195238.58780452784</v>
      </c>
      <c r="G12" s="23"/>
      <c r="H12" s="23"/>
      <c r="I12" s="23"/>
      <c r="J12" s="23">
        <f>J10*J8</f>
        <v>1656.8253583942753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236670</v>
      </c>
      <c r="C26" s="36"/>
      <c r="D26" s="224"/>
    </row>
    <row r="27" spans="1:5" s="15" customFormat="1">
      <c r="A27" s="226" t="s">
        <v>770</v>
      </c>
      <c r="B27" s="37">
        <f>SUM(HH_hh_gas_aantal,HH_rest_gas_aantal)</f>
        <v>184612</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175381.4</v>
      </c>
      <c r="C31" s="34" t="s">
        <v>104</v>
      </c>
      <c r="D31" s="170"/>
    </row>
    <row r="32" spans="1:5">
      <c r="A32" s="167" t="s">
        <v>72</v>
      </c>
      <c r="B32" s="33">
        <f>IF((B21*($B$26-($B$27-0.05*$B$27)-$B$60))&lt;0,0,(B21*($B$26-($B$27-0.05*$B$27)-$B$60)))</f>
        <v>996.4891012634655</v>
      </c>
      <c r="C32" s="34" t="s">
        <v>104</v>
      </c>
      <c r="D32" s="170"/>
    </row>
    <row r="33" spans="1:6">
      <c r="A33" s="167" t="s">
        <v>73</v>
      </c>
      <c r="B33" s="33">
        <f>IF((B22*($B$26-($B$27-0.05*$B$27)-$B$60))&lt;0,0,B22*($B$26-($B$27-0.05*$B$27)-$B$60))</f>
        <v>16181.009436191964</v>
      </c>
      <c r="C33" s="34" t="s">
        <v>104</v>
      </c>
      <c r="D33" s="170"/>
    </row>
    <row r="34" spans="1:6">
      <c r="A34" s="167" t="s">
        <v>74</v>
      </c>
      <c r="B34" s="33">
        <f>IF((B24*($B$26-($B$27-0.05*$B$27)-$B$60))&lt;0,0,B24*($B$26-($B$27-0.05*$B$27)-$B$60))</f>
        <v>7075.2541856844264</v>
      </c>
      <c r="C34" s="33">
        <f>B26*C24</f>
        <v>39760.503144148985</v>
      </c>
      <c r="D34" s="229"/>
    </row>
    <row r="35" spans="1:6">
      <c r="A35" s="167" t="s">
        <v>76</v>
      </c>
      <c r="B35" s="33">
        <f>IF((B19*($B$26-($B$27-0.05*$B$27)-$B$60))&lt;0,0,B19*($B$26-($B$27-0.05*$B$27)-$B$60))</f>
        <v>433.17143662418505</v>
      </c>
      <c r="C35" s="33">
        <f>B35/2</f>
        <v>216.58571831209252</v>
      </c>
      <c r="D35" s="229"/>
    </row>
    <row r="36" spans="1:6">
      <c r="A36" s="167" t="s">
        <v>77</v>
      </c>
      <c r="B36" s="33">
        <f>IF((B18*($B$26-($B$27-0.05*$B$27)-$B$60))&lt;0,0,B18*($B$26-($B$27-0.05*$B$27)-$B$60))</f>
        <v>36316.675840235941</v>
      </c>
      <c r="C36" s="34" t="s">
        <v>104</v>
      </c>
      <c r="D36" s="170"/>
    </row>
    <row r="37" spans="1:6">
      <c r="A37" s="167" t="s">
        <v>78</v>
      </c>
      <c r="B37" s="33">
        <f>B60</f>
        <v>286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1615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286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1004919.7245516168</v>
      </c>
      <c r="C5" s="17">
        <f>IF(ISERROR('Eigen informatie GS &amp; warmtenet'!B60),0,'Eigen informatie GS &amp; warmtenet'!B60)</f>
        <v>0</v>
      </c>
      <c r="D5" s="30">
        <f>SUM(D6:D12)</f>
        <v>1482336.570423251</v>
      </c>
      <c r="E5" s="17">
        <f>SUM(E6:E12)</f>
        <v>1179.7462244604399</v>
      </c>
      <c r="F5" s="17">
        <f>SUM(F6:F12)</f>
        <v>162991.87177123089</v>
      </c>
      <c r="G5" s="18"/>
      <c r="H5" s="17"/>
      <c r="I5" s="17"/>
      <c r="J5" s="17">
        <f>SUM(J6:J12)</f>
        <v>0.99937134349546619</v>
      </c>
      <c r="K5" s="17"/>
      <c r="L5" s="17"/>
      <c r="M5" s="17"/>
      <c r="N5" s="17">
        <f>SUM(N6:N12)</f>
        <v>38428.6472781298</v>
      </c>
      <c r="O5" s="17">
        <f>B38*B39*B40</f>
        <v>93.047954550981942</v>
      </c>
      <c r="P5" s="17">
        <f>B46*B47*B48/1000-B46*B47*B48/1000/B49</f>
        <v>4675.9833092780555</v>
      </c>
      <c r="R5" s="32"/>
    </row>
    <row r="6" spans="1:18">
      <c r="A6" s="32" t="s">
        <v>53</v>
      </c>
      <c r="B6" s="37">
        <f>B26</f>
        <v>494300.208012558</v>
      </c>
      <c r="C6" s="33"/>
      <c r="D6" s="37">
        <f>IF(ISERROR(TER_kantoor_gas_kWh/1000),0,TER_kantoor_gas_kWh/1000)*0.903</f>
        <v>841887.22849859053</v>
      </c>
      <c r="E6" s="33">
        <f>$C$26*'E Balans VL '!I12/100/3.6*1000000</f>
        <v>0</v>
      </c>
      <c r="F6" s="33">
        <f>$C$26*('E Balans VL '!L12+'E Balans VL '!N12)/100/3.6*1000000</f>
        <v>56513.09839656917</v>
      </c>
      <c r="G6" s="34"/>
      <c r="H6" s="33"/>
      <c r="I6" s="33"/>
      <c r="J6" s="33">
        <f>$C$26*('E Balans VL '!D12+'E Balans VL '!E12)/100/3.6*1000000</f>
        <v>0</v>
      </c>
      <c r="K6" s="33"/>
      <c r="L6" s="33"/>
      <c r="M6" s="33"/>
      <c r="N6" s="33">
        <f>$C$26*'E Balans VL '!Y12/100/3.6*1000000</f>
        <v>559.86963426453451</v>
      </c>
      <c r="O6" s="33"/>
      <c r="P6" s="33"/>
      <c r="R6" s="32"/>
    </row>
    <row r="7" spans="1:18">
      <c r="A7" s="32" t="s">
        <v>52</v>
      </c>
      <c r="B7" s="37">
        <f t="shared" ref="B7:B12" si="0">B27</f>
        <v>94710.665059649196</v>
      </c>
      <c r="C7" s="33"/>
      <c r="D7" s="37">
        <f>IF(ISERROR(TER_horeca_gas_kWh/1000),0,TER_horeca_gas_kWh/1000)*0.903</f>
        <v>134907.36722782432</v>
      </c>
      <c r="E7" s="33">
        <f>$C$27*'E Balans VL '!I9/100/3.6*1000000</f>
        <v>0</v>
      </c>
      <c r="F7" s="33">
        <f>$C$27*('E Balans VL '!L9+'E Balans VL '!N9)/100/3.6*1000000</f>
        <v>9956.2971802030515</v>
      </c>
      <c r="G7" s="34"/>
      <c r="H7" s="33"/>
      <c r="I7" s="33"/>
      <c r="J7" s="33">
        <f>$C$27*('E Balans VL '!D9+'E Balans VL '!E9)/100/3.6*1000000</f>
        <v>0</v>
      </c>
      <c r="K7" s="33"/>
      <c r="L7" s="33"/>
      <c r="M7" s="33"/>
      <c r="N7" s="33">
        <f>$C$27*'E Balans VL '!Y9/100/3.6*1000000</f>
        <v>1066.868571887188</v>
      </c>
      <c r="O7" s="33"/>
      <c r="P7" s="33"/>
      <c r="R7" s="32"/>
    </row>
    <row r="8" spans="1:18">
      <c r="A8" s="6" t="s">
        <v>51</v>
      </c>
      <c r="B8" s="37">
        <f t="shared" si="0"/>
        <v>201719.71958915101</v>
      </c>
      <c r="C8" s="33"/>
      <c r="D8" s="37">
        <f>IF(ISERROR(TER_handel_gas_kWh/1000),0,TER_handel_gas_kWh/1000)*0.903</f>
        <v>139922.46578022715</v>
      </c>
      <c r="E8" s="33">
        <f>$C$28*'E Balans VL '!I13/100/3.6*1000000</f>
        <v>43.481740071504746</v>
      </c>
      <c r="F8" s="33">
        <f>$C$28*('E Balans VL '!L13+'E Balans VL '!N13)/100/3.6*1000000</f>
        <v>28368.094420833117</v>
      </c>
      <c r="G8" s="34"/>
      <c r="H8" s="33"/>
      <c r="I8" s="33"/>
      <c r="J8" s="33">
        <f>$C$28*('E Balans VL '!D13+'E Balans VL '!E13)/100/3.6*1000000</f>
        <v>0</v>
      </c>
      <c r="K8" s="33"/>
      <c r="L8" s="33"/>
      <c r="M8" s="33"/>
      <c r="N8" s="33">
        <f>$C$28*'E Balans VL '!Y13/100/3.6*1000000</f>
        <v>193.55385681899023</v>
      </c>
      <c r="O8" s="33"/>
      <c r="P8" s="33"/>
      <c r="R8" s="32"/>
    </row>
    <row r="9" spans="1:18">
      <c r="A9" s="32" t="s">
        <v>50</v>
      </c>
      <c r="B9" s="37">
        <f t="shared" si="0"/>
        <v>74776.26018545391</v>
      </c>
      <c r="C9" s="33"/>
      <c r="D9" s="37">
        <f>IF(ISERROR(TER_gezond_gas_kWh/1000),0,TER_gezond_gas_kWh/1000)*0.903</f>
        <v>147898.92391003121</v>
      </c>
      <c r="E9" s="33">
        <f>$C$29*'E Balans VL '!I10/100/3.6*1000000</f>
        <v>0</v>
      </c>
      <c r="F9" s="33">
        <f>$C$29*('E Balans VL '!L10+'E Balans VL '!N10)/100/3.6*1000000</f>
        <v>2036.1778477523208</v>
      </c>
      <c r="G9" s="34"/>
      <c r="H9" s="33"/>
      <c r="I9" s="33"/>
      <c r="J9" s="33">
        <f>$C$29*('E Balans VL '!D10+'E Balans VL '!E10)/100/3.6*1000000</f>
        <v>0</v>
      </c>
      <c r="K9" s="33"/>
      <c r="L9" s="33"/>
      <c r="M9" s="33"/>
      <c r="N9" s="33">
        <f>$C$29*'E Balans VL '!Y10/100/3.6*1000000</f>
        <v>474.0829551032092</v>
      </c>
      <c r="O9" s="33"/>
      <c r="P9" s="33"/>
      <c r="R9" s="32"/>
    </row>
    <row r="10" spans="1:18">
      <c r="A10" s="32" t="s">
        <v>49</v>
      </c>
      <c r="B10" s="37">
        <f t="shared" si="0"/>
        <v>93242.810105893892</v>
      </c>
      <c r="C10" s="33"/>
      <c r="D10" s="37">
        <f>IF(ISERROR(TER_ander_gas_kWh/1000),0,TER_ander_gas_kWh/1000)*0.903</f>
        <v>122916.97015022003</v>
      </c>
      <c r="E10" s="33">
        <f>$C$30*'E Balans VL '!I14/100/3.6*1000000</f>
        <v>1136.2644843889352</v>
      </c>
      <c r="F10" s="33">
        <f>$C$30*('E Balans VL '!L14+'E Balans VL '!N14)/100/3.6*1000000</f>
        <v>64188.731450475381</v>
      </c>
      <c r="G10" s="34"/>
      <c r="H10" s="33"/>
      <c r="I10" s="33"/>
      <c r="J10" s="33">
        <f>$C$30*('E Balans VL '!D14+'E Balans VL '!E14)/100/3.6*1000000</f>
        <v>0.99937134349546619</v>
      </c>
      <c r="K10" s="33"/>
      <c r="L10" s="33"/>
      <c r="M10" s="33"/>
      <c r="N10" s="33">
        <f>$C$30*'E Balans VL '!Y14/100/3.6*1000000</f>
        <v>36019.517546682917</v>
      </c>
      <c r="O10" s="33"/>
      <c r="P10" s="33"/>
      <c r="R10" s="32"/>
    </row>
    <row r="11" spans="1:18">
      <c r="A11" s="32" t="s">
        <v>54</v>
      </c>
      <c r="B11" s="37">
        <f t="shared" si="0"/>
        <v>46170.061598910805</v>
      </c>
      <c r="C11" s="33"/>
      <c r="D11" s="37">
        <f>IF(ISERROR(TER_onderwijs_gas_kWh/1000),0,TER_onderwijs_gas_kWh/1000)*0.903</f>
        <v>94803.614856357919</v>
      </c>
      <c r="E11" s="33">
        <f>$C$31*'E Balans VL '!I11/100/3.6*1000000</f>
        <v>0</v>
      </c>
      <c r="F11" s="33">
        <f>$C$31*('E Balans VL '!L11+'E Balans VL '!N11)/100/3.6*1000000</f>
        <v>1929.4724753978514</v>
      </c>
      <c r="G11" s="34"/>
      <c r="H11" s="33"/>
      <c r="I11" s="33"/>
      <c r="J11" s="33">
        <f>$C$31*('E Balans VL '!D11+'E Balans VL '!E11)/100/3.6*1000000</f>
        <v>0</v>
      </c>
      <c r="K11" s="33"/>
      <c r="L11" s="33"/>
      <c r="M11" s="33"/>
      <c r="N11" s="33">
        <f>$C$31*'E Balans VL '!Y11/100/3.6*1000000</f>
        <v>114.75471337296099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16121.503779067498</v>
      </c>
      <c r="C13" s="242">
        <f ca="1">'lokale energieproductie'!O40+'lokale energieproductie'!O33</f>
        <v>16191.9444457398</v>
      </c>
      <c r="D13" s="301">
        <f ca="1">('lokale energieproductie'!P33+'lokale energieproductie'!P40)*(-1)</f>
        <v>-27144.341668838209</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-19959.653779374548</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1021041.2283306844</v>
      </c>
      <c r="C16" s="21">
        <f t="shared" ca="1" si="1"/>
        <v>16191.9444457398</v>
      </c>
      <c r="D16" s="21">
        <f t="shared" ca="1" si="1"/>
        <v>1455192.2287544128</v>
      </c>
      <c r="E16" s="21">
        <f t="shared" ca="1" si="1"/>
        <v>1179.7462244604399</v>
      </c>
      <c r="F16" s="21">
        <f t="shared" ca="1" si="1"/>
        <v>162991.87177123089</v>
      </c>
      <c r="G16" s="21">
        <f t="shared" si="1"/>
        <v>0</v>
      </c>
      <c r="H16" s="21">
        <f t="shared" si="1"/>
        <v>0</v>
      </c>
      <c r="I16" s="21">
        <f t="shared" si="1"/>
        <v>0</v>
      </c>
      <c r="J16" s="21">
        <f t="shared" si="1"/>
        <v>0.99937134349546619</v>
      </c>
      <c r="K16" s="21">
        <f t="shared" si="1"/>
        <v>0</v>
      </c>
      <c r="L16" s="21">
        <f t="shared" ca="1" si="1"/>
        <v>0</v>
      </c>
      <c r="M16" s="21">
        <f t="shared" si="1"/>
        <v>0</v>
      </c>
      <c r="N16" s="21">
        <f t="shared" ca="1" si="1"/>
        <v>18468.993498755251</v>
      </c>
      <c r="O16" s="21">
        <f>O5</f>
        <v>93.047954550981942</v>
      </c>
      <c r="P16" s="21">
        <f>P5</f>
        <v>4675.9833092780555</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0.185338335329887</v>
      </c>
      <c r="C18" s="25">
        <f ca="1">'EF ele_warmte'!B22</f>
        <v>0.22022720494343095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189238.08156199209</v>
      </c>
      <c r="C20" s="23">
        <f t="shared" ref="C20:P20" ca="1" si="2">C16*C18</f>
        <v>3565.9066678845875</v>
      </c>
      <c r="D20" s="23">
        <f t="shared" ca="1" si="2"/>
        <v>293948.83020839142</v>
      </c>
      <c r="E20" s="23">
        <f t="shared" ca="1" si="2"/>
        <v>267.80239295251988</v>
      </c>
      <c r="F20" s="23">
        <f t="shared" ca="1" si="2"/>
        <v>43518.829762918649</v>
      </c>
      <c r="G20" s="23">
        <f t="shared" si="2"/>
        <v>0</v>
      </c>
      <c r="H20" s="23">
        <f t="shared" si="2"/>
        <v>0</v>
      </c>
      <c r="I20" s="23">
        <f t="shared" si="2"/>
        <v>0</v>
      </c>
      <c r="J20" s="23">
        <f t="shared" si="2"/>
        <v>0.35377745559739504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494300.208012558</v>
      </c>
      <c r="C26" s="39">
        <f>IF(ISERROR(B26*3.6/1000000/'E Balans VL '!Z12*100),0,B26*3.6/1000000/'E Balans VL '!Z12*100)</f>
        <v>15.194812600994334</v>
      </c>
      <c r="D26" s="232" t="s">
        <v>768</v>
      </c>
      <c r="F26" s="6"/>
    </row>
    <row r="27" spans="1:18" ht="30">
      <c r="A27" s="227" t="s">
        <v>52</v>
      </c>
      <c r="B27" s="33">
        <f>IF(ISERROR(TER_horeca_ele_kWh/1000),0,TER_horeca_ele_kWh/1000)</f>
        <v>94710.665059649196</v>
      </c>
      <c r="C27" s="39">
        <f>IF(ISERROR(B27*3.6/1000000/'E Balans VL '!Z9*100),0,B27*3.6/1000000/'E Balans VL '!Z9*100)</f>
        <v>7.6903589586212115</v>
      </c>
      <c r="D27" s="232" t="s">
        <v>768</v>
      </c>
      <c r="F27" s="6"/>
    </row>
    <row r="28" spans="1:18" ht="30">
      <c r="A28" s="167" t="s">
        <v>51</v>
      </c>
      <c r="B28" s="33">
        <f>IF(ISERROR(TER_handel_ele_kWh/1000),0,TER_handel_ele_kWh/1000)</f>
        <v>201719.71958915101</v>
      </c>
      <c r="C28" s="39">
        <f>IF(ISERROR(B28*3.6/1000000/'E Balans VL '!Z13*100),0,B28*3.6/1000000/'E Balans VL '!Z13*100)</f>
        <v>6.6328082493170069</v>
      </c>
      <c r="D28" s="232" t="s">
        <v>768</v>
      </c>
      <c r="F28" s="6"/>
    </row>
    <row r="29" spans="1:18" ht="30">
      <c r="A29" s="227" t="s">
        <v>50</v>
      </c>
      <c r="B29" s="33">
        <f>IF(ISERROR(TER_gezond_ele_kWh/1000),0,TER_gezond_ele_kWh/1000)</f>
        <v>74776.26018545391</v>
      </c>
      <c r="C29" s="39">
        <f>IF(ISERROR(B29*3.6/1000000/'E Balans VL '!Z10*100),0,B29*3.6/1000000/'E Balans VL '!Z10*100)</f>
        <v>7.2959023005116741</v>
      </c>
      <c r="D29" s="232" t="s">
        <v>768</v>
      </c>
      <c r="F29" s="6"/>
    </row>
    <row r="30" spans="1:18" ht="30">
      <c r="A30" s="227" t="s">
        <v>49</v>
      </c>
      <c r="B30" s="33">
        <f>IF(ISERROR(TER_ander_ele_kWh/1000),0,TER_ander_ele_kWh/1000)</f>
        <v>93242.810105893892</v>
      </c>
      <c r="C30" s="39">
        <f>IF(ISERROR(B30*3.6/1000000/'E Balans VL '!Z14*100),0,B30*3.6/1000000/'E Balans VL '!Z14*100)</f>
        <v>4.0929884375240935</v>
      </c>
      <c r="D30" s="232" t="s">
        <v>768</v>
      </c>
      <c r="F30" s="6"/>
    </row>
    <row r="31" spans="1:18" ht="30">
      <c r="A31" s="227" t="s">
        <v>54</v>
      </c>
      <c r="B31" s="33">
        <f>IF(ISERROR(TER_onderwijs_ele_kWh/1000),0,TER_onderwijs_ele_kWh/1000)</f>
        <v>46170.061598910805</v>
      </c>
      <c r="C31" s="39">
        <f>IF(ISERROR(B31*3.6/1000000/'E Balans VL '!Z11*100),0,B31*3.6/1000000/'E Balans VL '!Z11*100)</f>
        <v>15.817109808680927</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19</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89</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370455.8690538985</v>
      </c>
      <c r="C5" s="17">
        <f>IF(ISERROR('Eigen informatie GS &amp; warmtenet'!B61),0,'Eigen informatie GS &amp; warmtenet'!B61)</f>
        <v>0</v>
      </c>
      <c r="D5" s="30">
        <f>SUM(D6:D15)</f>
        <v>348962.93963977706</v>
      </c>
      <c r="E5" s="17">
        <f>SUM(E6:E15)</f>
        <v>2544.9325296483812</v>
      </c>
      <c r="F5" s="17">
        <f>SUM(F6:F15)</f>
        <v>70034.568299209379</v>
      </c>
      <c r="G5" s="18"/>
      <c r="H5" s="17"/>
      <c r="I5" s="17"/>
      <c r="J5" s="17">
        <f>SUM(J6:J15)</f>
        <v>1498.2736726668913</v>
      </c>
      <c r="K5" s="17"/>
      <c r="L5" s="17"/>
      <c r="M5" s="17"/>
      <c r="N5" s="17">
        <f>SUM(N6:N15)</f>
        <v>24376.490622651254</v>
      </c>
      <c r="O5" s="17">
        <f>B43*B44*B45</f>
        <v>0</v>
      </c>
      <c r="P5" s="17">
        <f>B51*B52*B53/1000-B51*B52*B53/1000/B54</f>
        <v>0</v>
      </c>
      <c r="R5" s="32"/>
    </row>
    <row r="6" spans="1:18">
      <c r="A6" s="6" t="s">
        <v>34</v>
      </c>
      <c r="B6" s="37">
        <f>IF( ISERROR(IND_ijzer_ele_kWh/1000),0,IND_ijzer_ele_kWh/1000)</f>
        <v>3.4724634849965001</v>
      </c>
      <c r="C6" s="33"/>
      <c r="D6" s="37">
        <f>IF( ISERROR(IND_ijzer_gas_kWh/1000),0,IND_ijzer_gas_kWh/1000)*0.903</f>
        <v>39.182223651967078</v>
      </c>
      <c r="E6" s="33"/>
      <c r="F6" s="33"/>
      <c r="G6" s="34"/>
      <c r="H6" s="33"/>
      <c r="I6" s="33"/>
      <c r="J6" s="40"/>
      <c r="K6" s="33"/>
      <c r="L6" s="33"/>
      <c r="M6" s="33"/>
      <c r="N6" s="33"/>
      <c r="O6" s="33"/>
      <c r="P6" s="33"/>
      <c r="R6" s="32"/>
    </row>
    <row r="7" spans="1:18">
      <c r="A7" s="6" t="s">
        <v>37</v>
      </c>
      <c r="B7" s="37">
        <f t="shared" ref="B7:B15" si="0">B29</f>
        <v>1494.5396088449602</v>
      </c>
      <c r="C7" s="33"/>
      <c r="D7" s="37">
        <f>IF( ISERROR(IND_nonf_gas_kWhh/1000),0,IND_nonf_gas_kWh/1000)*0.903</f>
        <v>0</v>
      </c>
      <c r="E7" s="33">
        <f>C29*'E Balans VL '!I17/100/3.6*1000000</f>
        <v>12.76689464791594</v>
      </c>
      <c r="F7" s="33">
        <f>C29*'E Balans VL '!L17/100/3.6*1000000+C29*'E Balans VL '!N17/100/3.6*1000000</f>
        <v>181.34479752933277</v>
      </c>
      <c r="G7" s="34"/>
      <c r="H7" s="33"/>
      <c r="I7" s="33"/>
      <c r="J7" s="40">
        <f>C29*'E Balans VL '!D17/100/3.6*1000000+C29*'E Balans VL '!E17/100/3.6*1000000</f>
        <v>533.72088863906947</v>
      </c>
      <c r="K7" s="33"/>
      <c r="L7" s="33"/>
      <c r="M7" s="33"/>
      <c r="N7" s="33">
        <f>C29*'E Balans VL '!Y17/100/3.6*1000000</f>
        <v>0</v>
      </c>
      <c r="O7" s="33"/>
      <c r="P7" s="33"/>
      <c r="R7" s="32"/>
    </row>
    <row r="8" spans="1:18">
      <c r="A8" s="6" t="s">
        <v>35</v>
      </c>
      <c r="B8" s="37">
        <f t="shared" si="0"/>
        <v>107927.562816662</v>
      </c>
      <c r="C8" s="33"/>
      <c r="D8" s="37">
        <f>IF( ISERROR(IND_metaal_Gas_kWH/1000),0,IND_metaal_Gas_kWH/1000)*0.903</f>
        <v>39186.624460946165</v>
      </c>
      <c r="E8" s="33">
        <f>C30*'E Balans VL '!I18/100/3.6*1000000</f>
        <v>314.26784422018352</v>
      </c>
      <c r="F8" s="33">
        <f>C30*'E Balans VL '!L18/100/3.6*1000000+C30*'E Balans VL '!N18/100/3.6*1000000</f>
        <v>4147.8781859853843</v>
      </c>
      <c r="G8" s="34"/>
      <c r="H8" s="33"/>
      <c r="I8" s="33"/>
      <c r="J8" s="40">
        <f>C30*'E Balans VL '!D18/100/3.6*1000000+C30*'E Balans VL '!E18/100/3.6*1000000</f>
        <v>2.9163246123785148E-13</v>
      </c>
      <c r="K8" s="33"/>
      <c r="L8" s="33"/>
      <c r="M8" s="33"/>
      <c r="N8" s="33">
        <f>C30*'E Balans VL '!Y18/100/3.6*1000000</f>
        <v>1600.8209788919639</v>
      </c>
      <c r="O8" s="33"/>
      <c r="P8" s="33"/>
      <c r="R8" s="32"/>
    </row>
    <row r="9" spans="1:18">
      <c r="A9" s="6" t="s">
        <v>32</v>
      </c>
      <c r="B9" s="37">
        <f t="shared" si="0"/>
        <v>71509.305787102698</v>
      </c>
      <c r="C9" s="33"/>
      <c r="D9" s="37">
        <f>IF( ISERROR(IND_andere_gas_kWh/1000),0,IND_andere_gas_kWh/1000)*0.903</f>
        <v>59343.742062317848</v>
      </c>
      <c r="E9" s="33">
        <f>C31*'E Balans VL '!I19/100/3.6*1000000</f>
        <v>362.6346304429012</v>
      </c>
      <c r="F9" s="33">
        <f>C31*'E Balans VL '!L19/100/3.6*1000000+C31*'E Balans VL '!N19/100/3.6*1000000</f>
        <v>54119.509959580682</v>
      </c>
      <c r="G9" s="34"/>
      <c r="H9" s="33"/>
      <c r="I9" s="33"/>
      <c r="J9" s="40">
        <f>C31*'E Balans VL '!D19/100/3.6*1000000+C31*'E Balans VL '!E19/100/3.6*1000000</f>
        <v>0</v>
      </c>
      <c r="K9" s="33"/>
      <c r="L9" s="33"/>
      <c r="M9" s="33"/>
      <c r="N9" s="33">
        <f>C31*'E Balans VL '!Y19/100/3.6*1000000</f>
        <v>2632.3427608499942</v>
      </c>
      <c r="O9" s="33"/>
      <c r="P9" s="33"/>
      <c r="R9" s="32"/>
    </row>
    <row r="10" spans="1:18">
      <c r="A10" s="6" t="s">
        <v>40</v>
      </c>
      <c r="B10" s="37">
        <f t="shared" si="0"/>
        <v>142216.83750862602</v>
      </c>
      <c r="C10" s="33"/>
      <c r="D10" s="37">
        <f>IF( ISERROR(IND_voed_gas_kWh/1000),0,IND_voed_gas_kWh/1000)*0.903</f>
        <v>225565.68076755805</v>
      </c>
      <c r="E10" s="33">
        <f>C32*'E Balans VL '!I20/100/3.6*1000000</f>
        <v>166.30907146256567</v>
      </c>
      <c r="F10" s="33">
        <f>C32*'E Balans VL '!L20/100/3.6*1000000+C32*'E Balans VL '!N20/100/3.6*1000000</f>
        <v>6640.9141451096084</v>
      </c>
      <c r="G10" s="34"/>
      <c r="H10" s="33"/>
      <c r="I10" s="33"/>
      <c r="J10" s="40">
        <f>C32*'E Balans VL '!D20/100/3.6*1000000+C32*'E Balans VL '!E20/100/3.6*1000000</f>
        <v>0</v>
      </c>
      <c r="K10" s="33"/>
      <c r="L10" s="33"/>
      <c r="M10" s="33"/>
      <c r="N10" s="33">
        <f>C32*'E Balans VL '!Y20/100/3.6*1000000</f>
        <v>8156.1335727224068</v>
      </c>
      <c r="O10" s="33"/>
      <c r="P10" s="33"/>
      <c r="R10" s="32"/>
    </row>
    <row r="11" spans="1:18">
      <c r="A11" s="6" t="s">
        <v>39</v>
      </c>
      <c r="B11" s="37">
        <f t="shared" si="0"/>
        <v>1674.0779413893499</v>
      </c>
      <c r="C11" s="33"/>
      <c r="D11" s="37">
        <f>IF( ISERROR(IND_textiel_gas_kWh/1000),0,IND_textiel_gas_kWh/1000)*0.903</f>
        <v>1543.4636553533257</v>
      </c>
      <c r="E11" s="33">
        <f>C33*'E Balans VL '!I21/100/3.6*1000000</f>
        <v>23.282830768792394</v>
      </c>
      <c r="F11" s="33">
        <f>C33*'E Balans VL '!L21/100/3.6*1000000+C33*'E Balans VL '!N21/100/3.6*1000000</f>
        <v>53.00583273474868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26302.442249605901</v>
      </c>
      <c r="C12" s="33"/>
      <c r="D12" s="37">
        <f>IF( ISERROR(IND_min_gas_kWh/1000),0,IND_min_gas_kWh/1000)*0.903</f>
        <v>9670.0284289709653</v>
      </c>
      <c r="E12" s="33">
        <f>C34*'E Balans VL '!I22/100/3.6*1000000</f>
        <v>277.13927659428771</v>
      </c>
      <c r="F12" s="33">
        <f>C34*'E Balans VL '!L22/100/3.6*1000000+C34*'E Balans VL '!N22/100/3.6*1000000</f>
        <v>2986.0995624126999</v>
      </c>
      <c r="G12" s="34"/>
      <c r="H12" s="33"/>
      <c r="I12" s="33"/>
      <c r="J12" s="40">
        <f>C34*'E Balans VL '!D22/100/3.6*1000000+C34*'E Balans VL '!E22/100/3.6*1000000</f>
        <v>896.49384666800995</v>
      </c>
      <c r="K12" s="33"/>
      <c r="L12" s="33"/>
      <c r="M12" s="33"/>
      <c r="N12" s="33">
        <f>C34*'E Balans VL '!Y22/100/3.6*1000000</f>
        <v>12888.781219607252</v>
      </c>
      <c r="O12" s="33"/>
      <c r="P12" s="33"/>
      <c r="R12" s="32"/>
    </row>
    <row r="13" spans="1:18">
      <c r="A13" s="6" t="s">
        <v>38</v>
      </c>
      <c r="B13" s="37">
        <f t="shared" si="0"/>
        <v>11277.6732999999</v>
      </c>
      <c r="C13" s="33"/>
      <c r="D13" s="37">
        <f>IF( ISERROR(IND_papier_gas_kWh/1000),0,IND_papier_gas_kWh/1000)*0.903</f>
        <v>4412.2238970551616</v>
      </c>
      <c r="E13" s="33">
        <f>C35*'E Balans VL '!I23/100/3.6*1000000</f>
        <v>0</v>
      </c>
      <c r="F13" s="33">
        <f>C35*'E Balans VL '!L23/100/3.6*1000000+C35*'E Balans VL '!N23/100/3.6*1000000</f>
        <v>1347.3508379837583</v>
      </c>
      <c r="G13" s="34"/>
      <c r="H13" s="33"/>
      <c r="I13" s="33"/>
      <c r="J13" s="40">
        <f>C35*'E Balans VL '!D23/100/3.6*1000000+C35*'E Balans VL '!E23/100/3.6*1000000</f>
        <v>68.05893735981148</v>
      </c>
      <c r="K13" s="33"/>
      <c r="L13" s="33"/>
      <c r="M13" s="33"/>
      <c r="N13" s="33">
        <f>C35*'E Balans VL '!Y23/100/3.6*1000000</f>
        <v>-906.35263915082817</v>
      </c>
      <c r="O13" s="33"/>
      <c r="P13" s="33"/>
      <c r="R13" s="32"/>
    </row>
    <row r="14" spans="1:18">
      <c r="A14" s="6" t="s">
        <v>33</v>
      </c>
      <c r="B14" s="37">
        <f t="shared" si="0"/>
        <v>8049.9573781826302</v>
      </c>
      <c r="C14" s="33"/>
      <c r="D14" s="37">
        <f>IF( ISERROR(IND_chemie_gas_kWh/1000),0,IND_chemie_gas_kWh/1000)*0.903</f>
        <v>9142.5640890176091</v>
      </c>
      <c r="E14" s="33">
        <f>C36*'E Balans VL '!I24/100/3.6*1000000</f>
        <v>1388.531981511735</v>
      </c>
      <c r="F14" s="33">
        <f>C36*'E Balans VL '!L24/100/3.6*1000000+C36*'E Balans VL '!N24/100/3.6*1000000</f>
        <v>558.46497787316832</v>
      </c>
      <c r="G14" s="34"/>
      <c r="H14" s="33"/>
      <c r="I14" s="33"/>
      <c r="J14" s="40">
        <f>C36*'E Balans VL '!D24/100/3.6*1000000+C36*'E Balans VL '!E24/100/3.6*1000000</f>
        <v>0</v>
      </c>
      <c r="K14" s="33"/>
      <c r="L14" s="33"/>
      <c r="M14" s="33"/>
      <c r="N14" s="33">
        <f>C36*'E Balans VL '!Y24/100/3.6*1000000</f>
        <v>4.7647297304649854</v>
      </c>
      <c r="O14" s="33"/>
      <c r="P14" s="33"/>
      <c r="R14" s="32"/>
    </row>
    <row r="15" spans="1:18">
      <c r="A15" s="6" t="s">
        <v>259</v>
      </c>
      <c r="B15" s="37">
        <f t="shared" si="0"/>
        <v>0</v>
      </c>
      <c r="C15" s="33"/>
      <c r="D15" s="37">
        <f>IF( ISERROR(IND_rest_gas_kWh/1000),0,IND_rest_gas_kWh/1000)*0.903</f>
        <v>59.430054905960631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energieproductie'!N39+'lokale energieproductie'!N32</f>
        <v>2013.8888890500002</v>
      </c>
      <c r="C16" s="242">
        <f>'lokale energieproductie'!O39+'lokale energieproductie'!O32</f>
        <v>3363.888889158</v>
      </c>
      <c r="D16" s="301">
        <f>('lokale energieproductie'!P32+'lokale energieproductie'!P39)*(-1)</f>
        <v>-6770.1027783193858</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372469.75794294849</v>
      </c>
      <c r="C18" s="21">
        <f>C5+C16</f>
        <v>3363.888889158</v>
      </c>
      <c r="D18" s="21">
        <f>MAX((D5+D16),0)</f>
        <v>342192.83686145768</v>
      </c>
      <c r="E18" s="21">
        <f>MAX((E5+E16),0)</f>
        <v>2544.9325296483812</v>
      </c>
      <c r="F18" s="21">
        <f>MAX((F5+F16),0)</f>
        <v>70034.568299209379</v>
      </c>
      <c r="G18" s="21"/>
      <c r="H18" s="21"/>
      <c r="I18" s="21"/>
      <c r="J18" s="21">
        <f>MAX((J5+J16),0)</f>
        <v>1498.2736726668913</v>
      </c>
      <c r="K18" s="21"/>
      <c r="L18" s="21">
        <f>MAX((L5+L16),0)</f>
        <v>0</v>
      </c>
      <c r="M18" s="21"/>
      <c r="N18" s="21">
        <f>MAX((N5+N16),0)</f>
        <v>24376.490622651254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0.185338335329887</v>
      </c>
      <c r="C20" s="25">
        <f ca="1">'EF ele_warmte'!B22</f>
        <v>0.22022720494343095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69032.924897872028</v>
      </c>
      <c r="C22" s="23">
        <f ca="1">C18*C20</f>
        <v>740.81984779952916</v>
      </c>
      <c r="D22" s="23">
        <f>D18*D20</f>
        <v>69122.95304601446</v>
      </c>
      <c r="E22" s="23">
        <f>E18*E20</f>
        <v>577.69968423018258</v>
      </c>
      <c r="F22" s="23">
        <f>F18*F20</f>
        <v>18699.229735888905</v>
      </c>
      <c r="G22" s="23"/>
      <c r="H22" s="23"/>
      <c r="I22" s="23"/>
      <c r="J22" s="23">
        <f>J18*J20</f>
        <v>530.38888012407949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1494.5396088449602</v>
      </c>
      <c r="C29" s="39">
        <f>IF(ISERROR(B29*3.6/1000000/'E Balans VL '!Z17*100),0,B29*3.6/1000000/'E Balans VL '!Z17*100)</f>
        <v>1.0543791906385613</v>
      </c>
      <c r="D29" s="232" t="s">
        <v>768</v>
      </c>
    </row>
    <row r="30" spans="1:18" ht="30">
      <c r="A30" s="167" t="s">
        <v>35</v>
      </c>
      <c r="B30" s="37">
        <f>IF( ISERROR(IND_metaal_ele_kWh/1000),0,IND_metaal_ele_kWh/1000)</f>
        <v>107927.562816662</v>
      </c>
      <c r="C30" s="39">
        <f>IF(ISERROR(B30*3.6/1000000/'E Balans VL '!Z18*100),0,B30*3.6/1000000/'E Balans VL '!Z18*100)</f>
        <v>7.5651600600571882</v>
      </c>
      <c r="D30" s="232" t="s">
        <v>768</v>
      </c>
    </row>
    <row r="31" spans="1:18" ht="30">
      <c r="A31" s="6" t="s">
        <v>32</v>
      </c>
      <c r="B31" s="37">
        <f>IF( ISERROR(IND_ander_ele_kWh/1000),0,IND_ander_ele_kWh/1000)</f>
        <v>71509.305787102698</v>
      </c>
      <c r="C31" s="39">
        <f>IF(ISERROR(B31*3.6/1000000/'E Balans VL '!Z19*100),0,B31*3.6/1000000/'E Balans VL '!Z19*100)</f>
        <v>3.3504052908327822</v>
      </c>
      <c r="D31" s="232" t="s">
        <v>768</v>
      </c>
    </row>
    <row r="32" spans="1:18" ht="30">
      <c r="A32" s="167" t="s">
        <v>40</v>
      </c>
      <c r="B32" s="37">
        <f>IF( ISERROR(IND_voed_ele_kWh/1000),0,IND_voed_ele_kWh/1000)</f>
        <v>142216.83750862602</v>
      </c>
      <c r="C32" s="39">
        <f>IF(ISERROR(B32*3.6/1000000/'E Balans VL '!Z20*100),0,B32*3.6/1000000/'E Balans VL '!Z20*100)</f>
        <v>4.6943165846836008</v>
      </c>
      <c r="D32" s="232" t="s">
        <v>768</v>
      </c>
    </row>
    <row r="33" spans="1:5" ht="30">
      <c r="A33" s="167" t="s">
        <v>39</v>
      </c>
      <c r="B33" s="37">
        <f>IF( ISERROR(IND_textiel_ele_kWh/1000),0,IND_textiel_ele_kWh/1000)</f>
        <v>1674.0779413893499</v>
      </c>
      <c r="C33" s="39">
        <f>IF(ISERROR(B33*3.6/1000000/'E Balans VL '!Z21*100),0,B33*3.6/1000000/'E Balans VL '!Z21*100)</f>
        <v>0.31059408681495571</v>
      </c>
      <c r="D33" s="232" t="s">
        <v>768</v>
      </c>
    </row>
    <row r="34" spans="1:5" ht="30">
      <c r="A34" s="167" t="s">
        <v>36</v>
      </c>
      <c r="B34" s="37">
        <f>IF( ISERROR(IND_min_ele_kWh/1000),0,IND_min_ele_kWh/1000)</f>
        <v>26302.442249605901</v>
      </c>
      <c r="C34" s="39">
        <f>IF(ISERROR(B34*3.6/1000000/'E Balans VL '!Z22*100),0,B34*3.6/1000000/'E Balans VL '!Z22*100)</f>
        <v>11.037166471751435</v>
      </c>
      <c r="D34" s="232" t="s">
        <v>768</v>
      </c>
    </row>
    <row r="35" spans="1:5" ht="30">
      <c r="A35" s="167" t="s">
        <v>38</v>
      </c>
      <c r="B35" s="37">
        <f>IF( ISERROR(IND_papier_ele_kWh/1000),0,IND_papier_ele_kWh/1000)</f>
        <v>11277.6732999999</v>
      </c>
      <c r="C35" s="39">
        <f>IF(ISERROR(B35*3.6/1000000/'E Balans VL '!Z22*100),0,B35*3.6/1000000/'E Balans VL '!Z22*100)</f>
        <v>4.7323954347999866</v>
      </c>
      <c r="D35" s="232" t="s">
        <v>768</v>
      </c>
    </row>
    <row r="36" spans="1:5" ht="30">
      <c r="A36" s="167" t="s">
        <v>33</v>
      </c>
      <c r="B36" s="37">
        <f>IF( ISERROR(IND_chemie_ele_kWh/1000),0,IND_chemie_ele_kWh/1000)</f>
        <v>8049.9573781826302</v>
      </c>
      <c r="C36" s="39">
        <f>IF(ISERROR(B36*3.6/1000000/'E Balans VL '!Z24*100),0,B36*3.6/1000000/'E Balans VL '!Z24*100)</f>
        <v>0.2591835872306274</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748.78735552064097</v>
      </c>
      <c r="C5" s="17">
        <f>'Eigen informatie GS &amp; warmtenet'!B62</f>
        <v>0</v>
      </c>
      <c r="D5" s="30">
        <f>IF(ISERROR(SUM(LB_lb_gas_kWh,LB_rest_gas_kWh)/1000),0,SUM(LB_lb_gas_kWh,LB_rest_gas_kWh)/1000)*0.903</f>
        <v>3067.8389970354865</v>
      </c>
      <c r="E5" s="17">
        <f>B17*'E Balans VL '!I25/3.6*1000000/100</f>
        <v>25.250256628088106</v>
      </c>
      <c r="F5" s="17">
        <f>B17*('E Balans VL '!L25/3.6*1000000+'E Balans VL '!N25/3.6*1000000)/100</f>
        <v>2594.3180111484799</v>
      </c>
      <c r="G5" s="18"/>
      <c r="H5" s="17"/>
      <c r="I5" s="17"/>
      <c r="J5" s="17">
        <f>('E Balans VL '!D25+'E Balans VL '!E25)/3.6*1000000*landbouw!B17/100</f>
        <v>162.52690537672947</v>
      </c>
      <c r="K5" s="17"/>
      <c r="L5" s="17">
        <f>L6*(-1)</f>
        <v>0</v>
      </c>
      <c r="M5" s="17"/>
      <c r="N5" s="17">
        <f>N6*(-1)</f>
        <v>0</v>
      </c>
      <c r="O5" s="17"/>
      <c r="P5" s="17"/>
      <c r="R5" s="32"/>
    </row>
    <row r="6" spans="1:18">
      <c r="A6" s="16" t="s">
        <v>808</v>
      </c>
      <c r="B6" s="17" t="s">
        <v>204</v>
      </c>
      <c r="C6" s="17">
        <f>'lokale energieproductie'!O41+'lokale energieproductie'!O34</f>
        <v>0</v>
      </c>
      <c r="D6" s="301">
        <f>('lokale energieproductie'!P34+'lokale energieproductie'!P41)*(-1)</f>
        <v>0</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748.78735552064097</v>
      </c>
      <c r="C8" s="21">
        <f>C5+C6</f>
        <v>0</v>
      </c>
      <c r="D8" s="21">
        <f>MAX((D5+D6),0)</f>
        <v>3067.8389970354865</v>
      </c>
      <c r="E8" s="21">
        <f>MAX((E5+E6),0)</f>
        <v>25.250256628088106</v>
      </c>
      <c r="F8" s="21">
        <f>MAX((F5+F6),0)</f>
        <v>2594.3180111484799</v>
      </c>
      <c r="G8" s="21"/>
      <c r="H8" s="21"/>
      <c r="I8" s="21"/>
      <c r="J8" s="21">
        <f>MAX((J5+J6),0)</f>
        <v>162.52690537672947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0.185338335329887</v>
      </c>
      <c r="C10" s="31">
        <f ca="1">'EF ele_warmte'!B22</f>
        <v>0.22022720494343095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138.77900198826387</v>
      </c>
      <c r="C12" s="23">
        <f ca="1">C8*C10</f>
        <v>0</v>
      </c>
      <c r="D12" s="23">
        <f>D8*D10</f>
        <v>619.70347740116836</v>
      </c>
      <c r="E12" s="23">
        <f>E8*E10</f>
        <v>5.7318082545760003</v>
      </c>
      <c r="F12" s="23">
        <f>F8*F10</f>
        <v>692.68290897664417</v>
      </c>
      <c r="G12" s="23"/>
      <c r="H12" s="23"/>
      <c r="I12" s="23"/>
      <c r="J12" s="23">
        <f>J8*J10</f>
        <v>57.534524503362228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0.10696390896924524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59.535763613370918</v>
      </c>
      <c r="C26" s="242">
        <f>B26*'GWP N2O_CH4'!B5</f>
        <v>1250.2510358807892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5.4191010439154521</v>
      </c>
      <c r="C27" s="242">
        <f>B27*'GWP N2O_CH4'!B5</f>
        <v>113.8011219222245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0.81079218368964656</v>
      </c>
      <c r="C28" s="242">
        <f>B28*'GWP N2O_CH4'!B4</f>
        <v>251.34557694379043</v>
      </c>
      <c r="D28" s="50"/>
    </row>
    <row r="29" spans="1:4">
      <c r="A29" s="41" t="s">
        <v>266</v>
      </c>
      <c r="B29" s="242">
        <f>B34*'ha_N2O bodem landbouw'!B4</f>
        <v>8.3856098552303635</v>
      </c>
      <c r="C29" s="242">
        <f>B29*'GWP N2O_CH4'!B4</f>
        <v>2599.5390551214127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1.8385129734660901E-3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5.1569883131128556E-2</v>
      </c>
      <c r="C5" s="428" t="s">
        <v>204</v>
      </c>
      <c r="D5" s="413">
        <f>SUM(D6:D11)</f>
        <v>4.3948818557684538E-2</v>
      </c>
      <c r="E5" s="413">
        <f>SUM(E6:E11)</f>
        <v>1.6473710906497321E-2</v>
      </c>
      <c r="F5" s="426" t="s">
        <v>204</v>
      </c>
      <c r="G5" s="413">
        <f>SUM(G6:G11)</f>
        <v>7.7249140600255721</v>
      </c>
      <c r="H5" s="413">
        <f>SUM(H6:H11)</f>
        <v>2.1485908168472378</v>
      </c>
      <c r="I5" s="428" t="s">
        <v>204</v>
      </c>
      <c r="J5" s="428" t="s">
        <v>204</v>
      </c>
      <c r="K5" s="428" t="s">
        <v>204</v>
      </c>
      <c r="L5" s="428" t="s">
        <v>204</v>
      </c>
      <c r="M5" s="413">
        <f>SUM(M6:M11)</f>
        <v>1.0495992581726625</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1.272133657201974E-2</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1.1727153760326479E-2</v>
      </c>
      <c r="E6" s="839">
        <f>vkm_GW_PW*SUMIFS(TableVerdeelsleutelVkm[LPG],TableVerdeelsleutelVkm[Voertuigtype],"Lichte voertuigen")*SUMIFS(TableECFTransport[EnergieConsumptieFactor (PJ per km)],TableECFTransport[Index],CONCATENATE($A6,"_LPG_LPG"))</f>
        <v>3.9425459418296008E-3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1.1158146098757442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0.55790970691906605</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0.17290980828173191</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2.2301520994982191E-5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0.49327423394839504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3.555174339011205E-6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5.5216875061713688E-2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7.5374027384358085E-3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9.0155026684210163E-3</v>
      </c>
      <c r="E8" s="416">
        <f>vkm_NGW_PW*SUMIFS(TableVerdeelsleutelVkm[LPG],TableVerdeelsleutelVkm[Voertuigtype],"Lichte voertuigen")*SUMIFS(TableECFTransport[EnergieConsumptieFactor (PJ per km)],TableECFTransport[Index],CONCATENATE($A8,"_LPG_LPG"))</f>
        <v>2.8945255984051707E-3</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0.74988093081022833</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0.42078402583189312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0.12014827071398831</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5.6275550909807901E-6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0.16024184049324122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1.0828358368521628E-6</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1.7937386585411434E-2</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3.1150208143052451E-2</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2.3206162128937047E-2</v>
      </c>
      <c r="E10" s="416">
        <f>vkm_SW_PW*SUMIFS(TableVerdeelsleutelVkm[LPG],TableVerdeelsleutelVkm[Voertuigtype],"Lichte voertuigen")*SUMIFS(TableECFTransport[EnergieConsumptieFactor (PJ per km)],TableECFTransport[Index],CONCATENATE($A10,"_LPG_LPG"))</f>
        <v>9.6366393662625487E-3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2.4382096258702726</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1.1698706223020685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0.37359497138311537</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1.3300660153460047E-4</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2.7674928190276908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2.1823784034353965E-5</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0.3097919461467018</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14324.9675364246</v>
      </c>
      <c r="C14" s="21"/>
      <c r="D14" s="21">
        <f t="shared" ref="D14:M14" si="0">((D5)*10^9/3600)+D12</f>
        <v>12208.005154912373</v>
      </c>
      <c r="E14" s="21">
        <f t="shared" si="0"/>
        <v>4576.0308073603665</v>
      </c>
      <c r="F14" s="21"/>
      <c r="G14" s="21">
        <f t="shared" si="0"/>
        <v>2145809.4611182143</v>
      </c>
      <c r="H14" s="21">
        <f t="shared" si="0"/>
        <v>596830.78245756612</v>
      </c>
      <c r="I14" s="21"/>
      <c r="J14" s="21"/>
      <c r="K14" s="21"/>
      <c r="L14" s="21"/>
      <c r="M14" s="21">
        <f t="shared" si="0"/>
        <v>291555.34949240624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0.185338335329887</v>
      </c>
      <c r="C16" s="56">
        <f ca="1">'EF ele_warmte'!B22</f>
        <v>0.22022720494343095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2654.9656368556075</v>
      </c>
      <c r="C18" s="23"/>
      <c r="D18" s="23">
        <f t="shared" ref="D18:M18" si="1">D14*D16</f>
        <v>2466.0170412922994</v>
      </c>
      <c r="E18" s="23">
        <f t="shared" si="1"/>
        <v>1038.7589932708033</v>
      </c>
      <c r="F18" s="23"/>
      <c r="G18" s="23">
        <f t="shared" si="1"/>
        <v>572931.12611856323</v>
      </c>
      <c r="H18" s="23">
        <f t="shared" si="1"/>
        <v>148610.86483193396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0.11903127859159866</v>
      </c>
      <c r="C50" s="312">
        <f t="shared" ref="C50:P50" si="2">SUM(C51:C52)</f>
        <v>0</v>
      </c>
      <c r="D50" s="312">
        <f t="shared" si="2"/>
        <v>0</v>
      </c>
      <c r="E50" s="312">
        <f t="shared" si="2"/>
        <v>0</v>
      </c>
      <c r="F50" s="312">
        <f t="shared" si="2"/>
        <v>0</v>
      </c>
      <c r="G50" s="312">
        <f t="shared" si="2"/>
        <v>0.13733119774704991</v>
      </c>
      <c r="H50" s="312">
        <f t="shared" si="2"/>
        <v>0</v>
      </c>
      <c r="I50" s="312">
        <f t="shared" si="2"/>
        <v>0</v>
      </c>
      <c r="J50" s="312">
        <f t="shared" si="2"/>
        <v>0</v>
      </c>
      <c r="K50" s="312">
        <f t="shared" si="2"/>
        <v>0</v>
      </c>
      <c r="L50" s="312">
        <f t="shared" si="2"/>
        <v>0</v>
      </c>
      <c r="M50" s="312">
        <f t="shared" si="2"/>
        <v>1.5372701541364697E-2</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3.3440980655927554E-3</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0.13733119774704991</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1.5372701541364697E-2</v>
      </c>
      <c r="N51" s="314"/>
      <c r="O51" s="314"/>
      <c r="P51" s="317"/>
    </row>
    <row r="52" spans="1:18">
      <c r="A52" s="4" t="s">
        <v>316</v>
      </c>
      <c r="B52" s="840">
        <f>vkm_tram*SUMIFS(TableECFTransport[EnergieConsumptieFactor (PJ per km)],TableECFTransport[Index],"Tram_gemiddeld_Electric_Electric")</f>
        <v>0.11568718052600591</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33064.244053221853</v>
      </c>
      <c r="C54" s="21">
        <f t="shared" ref="C54:P54" si="3">(C50)*10^9/3600</f>
        <v>0</v>
      </c>
      <c r="D54" s="21">
        <f t="shared" si="3"/>
        <v>0</v>
      </c>
      <c r="E54" s="21">
        <f t="shared" si="3"/>
        <v>0</v>
      </c>
      <c r="F54" s="21">
        <f t="shared" si="3"/>
        <v>0</v>
      </c>
      <c r="G54" s="21">
        <f t="shared" si="3"/>
        <v>38147.554929736085</v>
      </c>
      <c r="H54" s="21">
        <f t="shared" si="3"/>
        <v>0</v>
      </c>
      <c r="I54" s="21">
        <f t="shared" si="3"/>
        <v>0</v>
      </c>
      <c r="J54" s="21">
        <f t="shared" si="3"/>
        <v>0</v>
      </c>
      <c r="K54" s="21">
        <f t="shared" si="3"/>
        <v>0</v>
      </c>
      <c r="L54" s="21">
        <f t="shared" si="3"/>
        <v>0</v>
      </c>
      <c r="M54" s="21">
        <f t="shared" si="3"/>
        <v>4270.1948726013052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0.185338335329887</v>
      </c>
      <c r="C56" s="56">
        <f ca="1">'EF ele_warmte'!B22</f>
        <v>0.22022720494343095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6128.0719517652542</v>
      </c>
      <c r="C58" s="23">
        <f t="shared" ref="C58:P58" ca="1" si="4">C54*C56</f>
        <v>0</v>
      </c>
      <c r="D58" s="23">
        <f t="shared" si="4"/>
        <v>0</v>
      </c>
      <c r="E58" s="23">
        <f t="shared" si="4"/>
        <v>0</v>
      </c>
      <c r="F58" s="23">
        <f t="shared" si="4"/>
        <v>0</v>
      </c>
      <c r="G58" s="23">
        <f t="shared" si="4"/>
        <v>10185.397166239536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246120.00043632544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90249.233489516409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11551.666667590802</v>
      </c>
      <c r="C8" s="539">
        <f>B50</f>
        <v>12594.016151691678</v>
      </c>
      <c r="D8" s="540">
        <f>J50</f>
        <v>0</v>
      </c>
      <c r="E8" s="540">
        <f>E50</f>
        <v>0</v>
      </c>
      <c r="F8" s="541"/>
      <c r="G8" s="542"/>
      <c r="H8" s="540">
        <f>I50</f>
        <v>0</v>
      </c>
      <c r="I8" s="540">
        <f>G50+F50</f>
        <v>0</v>
      </c>
      <c r="J8" s="540">
        <f>H50+D50+C50</f>
        <v>823.9821668948066</v>
      </c>
      <c r="K8" s="540"/>
      <c r="L8" s="540"/>
      <c r="M8" s="540"/>
      <c r="N8" s="543"/>
      <c r="O8" s="544">
        <f>C8*$C$12+D8*$D$12+E8*$E$12+F8*$F$12+G8*$G$12+H8*$H$12+I8*$I$12+J8*$J$12</f>
        <v>2543.991262641719</v>
      </c>
      <c r="P8" s="1239"/>
      <c r="Q8" s="1240"/>
      <c r="S8" s="534"/>
      <c r="T8" s="1236"/>
      <c r="U8" s="1236"/>
    </row>
    <row r="9" spans="1:21" s="525" customFormat="1" ht="17.45" customHeight="1" thickBot="1">
      <c r="A9" s="545" t="s">
        <v>237</v>
      </c>
      <c r="B9" s="546">
        <f>N38+'Eigen informatie GS &amp; warmtenet'!B12</f>
        <v>6583.726000526698</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17740.751001419259</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354504.62659395934</v>
      </c>
      <c r="C10" s="554">
        <f t="shared" ref="C10:L10" si="0">SUM(C8:C9)</f>
        <v>12594.016151691678</v>
      </c>
      <c r="D10" s="554">
        <f t="shared" si="0"/>
        <v>0</v>
      </c>
      <c r="E10" s="554">
        <f t="shared" si="0"/>
        <v>0</v>
      </c>
      <c r="F10" s="554">
        <f t="shared" si="0"/>
        <v>0</v>
      </c>
      <c r="G10" s="554">
        <f t="shared" si="0"/>
        <v>0</v>
      </c>
      <c r="H10" s="554">
        <f t="shared" si="0"/>
        <v>0</v>
      </c>
      <c r="I10" s="554">
        <f t="shared" si="0"/>
        <v>0</v>
      </c>
      <c r="J10" s="554">
        <f t="shared" si="0"/>
        <v>18564.733168314066</v>
      </c>
      <c r="K10" s="554">
        <f t="shared" si="0"/>
        <v>0</v>
      </c>
      <c r="L10" s="554">
        <f t="shared" si="0"/>
        <v>0</v>
      </c>
      <c r="M10" s="912"/>
      <c r="N10" s="912"/>
      <c r="O10" s="555">
        <f>SUM(O4:O9)</f>
        <v>2543.991262641719</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19555.833334897801</v>
      </c>
      <c r="C17" s="570">
        <f>B51</f>
        <v>21320.428295465921</v>
      </c>
      <c r="D17" s="571">
        <f>J51</f>
        <v>0</v>
      </c>
      <c r="E17" s="571">
        <f>E51</f>
        <v>0</v>
      </c>
      <c r="F17" s="572"/>
      <c r="G17" s="573"/>
      <c r="H17" s="570">
        <f>I51</f>
        <v>0</v>
      </c>
      <c r="I17" s="571">
        <f>G51+F51</f>
        <v>0</v>
      </c>
      <c r="J17" s="571">
        <f>H51+D51+C51</f>
        <v>1394.9206110604837</v>
      </c>
      <c r="K17" s="571"/>
      <c r="L17" s="571"/>
      <c r="M17" s="571"/>
      <c r="N17" s="913"/>
      <c r="O17" s="574">
        <f>C17*$C$22+E17*$E$22+H17*$H$22+I17*$I$22+J17*$J$22+D17*$D$22+F17*$F$22+G17*$G$22+K17*$K$22+L17*$L$22</f>
        <v>4306.7265156841167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19555.833334897801</v>
      </c>
      <c r="C20" s="553">
        <f>SUM(C17:C19)</f>
        <v>21320.428295465921</v>
      </c>
      <c r="D20" s="553">
        <f t="shared" ref="D20:L20" si="1">SUM(D17:D19)</f>
        <v>0</v>
      </c>
      <c r="E20" s="553">
        <f t="shared" si="1"/>
        <v>0</v>
      </c>
      <c r="F20" s="553">
        <f t="shared" si="1"/>
        <v>0</v>
      </c>
      <c r="G20" s="553">
        <f t="shared" si="1"/>
        <v>0</v>
      </c>
      <c r="H20" s="553">
        <f t="shared" si="1"/>
        <v>0</v>
      </c>
      <c r="I20" s="553">
        <f t="shared" si="1"/>
        <v>0</v>
      </c>
      <c r="J20" s="553">
        <f t="shared" si="1"/>
        <v>1394.9206110604837</v>
      </c>
      <c r="K20" s="553">
        <f t="shared" si="1"/>
        <v>0</v>
      </c>
      <c r="L20" s="553">
        <f t="shared" si="1"/>
        <v>0</v>
      </c>
      <c r="M20" s="553"/>
      <c r="N20" s="553"/>
      <c r="O20" s="579">
        <f>SUM(O17:O19)</f>
        <v>4306.7265156841167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11002</v>
      </c>
      <c r="C28" s="741"/>
      <c r="D28" s="628"/>
      <c r="E28" s="627"/>
      <c r="F28" s="627"/>
      <c r="G28" s="627"/>
      <c r="H28" s="627"/>
      <c r="I28" s="627"/>
      <c r="J28" s="740"/>
      <c r="K28" s="740"/>
      <c r="L28" s="627"/>
      <c r="M28" s="627">
        <v>2441.54</v>
      </c>
      <c r="N28" s="627">
        <v>8090.2777784250002</v>
      </c>
      <c r="O28" s="627">
        <v>14293.8888900324</v>
      </c>
      <c r="P28" s="627">
        <v>22992.21666850604</v>
      </c>
      <c r="Q28" s="627">
        <v>2218.9027779552903</v>
      </c>
      <c r="R28" s="627">
        <v>0</v>
      </c>
      <c r="S28" s="627">
        <v>0</v>
      </c>
      <c r="T28" s="627">
        <v>0</v>
      </c>
      <c r="U28" s="627">
        <v>0</v>
      </c>
      <c r="V28" s="627">
        <v>0</v>
      </c>
      <c r="W28" s="627">
        <v>0</v>
      </c>
      <c r="X28" s="627">
        <v>0</v>
      </c>
      <c r="Y28" s="627"/>
      <c r="Z28" s="627"/>
      <c r="AA28" s="629" t="s">
        <v>149</v>
      </c>
    </row>
    <row r="29" spans="1:27" s="584" customFormat="1" ht="12.75" hidden="1">
      <c r="A29" s="583"/>
      <c r="B29" s="741">
        <v>11002</v>
      </c>
      <c r="C29" s="741"/>
      <c r="D29" s="628"/>
      <c r="E29" s="627"/>
      <c r="F29" s="627"/>
      <c r="G29" s="627"/>
      <c r="H29" s="627"/>
      <c r="I29" s="627"/>
      <c r="J29" s="740"/>
      <c r="K29" s="740"/>
      <c r="L29" s="627"/>
      <c r="M29" s="627">
        <v>821.3</v>
      </c>
      <c r="N29" s="627">
        <v>2013.8888890500002</v>
      </c>
      <c r="O29" s="627">
        <v>3363.888889158</v>
      </c>
      <c r="P29" s="627">
        <v>6770.1027783193858</v>
      </c>
      <c r="Q29" s="627">
        <v>0</v>
      </c>
      <c r="R29" s="627">
        <v>0</v>
      </c>
      <c r="S29" s="627">
        <v>0</v>
      </c>
      <c r="T29" s="627">
        <v>0</v>
      </c>
      <c r="U29" s="627">
        <v>0</v>
      </c>
      <c r="V29" s="627">
        <v>0</v>
      </c>
      <c r="W29" s="627">
        <v>0</v>
      </c>
      <c r="X29" s="627">
        <v>0</v>
      </c>
      <c r="Y29" s="627"/>
      <c r="Z29" s="627"/>
      <c r="AA29" s="629" t="s">
        <v>370</v>
      </c>
    </row>
    <row r="30" spans="1:27" s="584" customFormat="1" ht="12.75" hidden="1">
      <c r="A30" s="583"/>
      <c r="B30" s="741">
        <v>11002</v>
      </c>
      <c r="C30" s="741"/>
      <c r="D30" s="628"/>
      <c r="E30" s="627"/>
      <c r="F30" s="627"/>
      <c r="G30" s="627"/>
      <c r="H30" s="627"/>
      <c r="I30" s="627"/>
      <c r="J30" s="740"/>
      <c r="K30" s="740"/>
      <c r="L30" s="627"/>
      <c r="M30" s="627">
        <v>803.7</v>
      </c>
      <c r="N30" s="627">
        <v>1447.5000001158</v>
      </c>
      <c r="O30" s="627">
        <v>1898.0555557074001</v>
      </c>
      <c r="P30" s="627">
        <v>4152.1250003321702</v>
      </c>
      <c r="Q30" s="627">
        <v>0</v>
      </c>
      <c r="R30" s="627">
        <v>0</v>
      </c>
      <c r="S30" s="627">
        <v>0</v>
      </c>
      <c r="T30" s="627">
        <v>0</v>
      </c>
      <c r="U30" s="627">
        <v>0</v>
      </c>
      <c r="V30" s="627">
        <v>0</v>
      </c>
      <c r="W30" s="627">
        <v>0</v>
      </c>
      <c r="X30" s="627">
        <v>0</v>
      </c>
      <c r="Y30" s="627"/>
      <c r="Z30" s="627"/>
      <c r="AA30" s="629" t="s">
        <v>830</v>
      </c>
    </row>
    <row r="31" spans="1:27" s="564" customFormat="1" hidden="1">
      <c r="A31" s="586" t="s">
        <v>269</v>
      </c>
      <c r="B31" s="587"/>
      <c r="C31" s="587"/>
      <c r="D31" s="587"/>
      <c r="E31" s="587"/>
      <c r="F31" s="587"/>
      <c r="G31" s="587"/>
      <c r="H31" s="587"/>
      <c r="I31" s="587"/>
      <c r="J31" s="587"/>
      <c r="K31" s="587"/>
      <c r="L31" s="588"/>
      <c r="M31" s="588">
        <f>SUM(M28:M30)</f>
        <v>4066.54</v>
      </c>
      <c r="N31" s="588">
        <f>SUM(N28:N30)</f>
        <v>11551.666667590802</v>
      </c>
      <c r="O31" s="588">
        <f>SUM(O28:O30)</f>
        <v>19555.833334897801</v>
      </c>
      <c r="P31" s="588">
        <f>SUM(P28:P30)</f>
        <v>33914.444447157599</v>
      </c>
      <c r="Q31" s="588">
        <f>SUM(Q28:Q30)</f>
        <v>2218.9027779552903</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821.3</v>
      </c>
      <c r="N32" s="588">
        <f>SUMIF($AA$28:$AA$30,"industrie",N28:N30)</f>
        <v>2013.8888890500002</v>
      </c>
      <c r="O32" s="588">
        <f>SUMIF($AA$28:$AA$30,"industrie",O28:O30)</f>
        <v>3363.888889158</v>
      </c>
      <c r="P32" s="588">
        <f>SUMIF($AA$28:$AA$30,"industrie",P28:P30)</f>
        <v>6770.1027783193858</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3245.24</v>
      </c>
      <c r="N33" s="588">
        <f ca="1">SUMIF($AA$28:AE30,"tertiair",N28:N30)</f>
        <v>9537.7777785407998</v>
      </c>
      <c r="O33" s="588">
        <f ca="1">SUMIF($AA$28:AF30,"tertiair",O28:O30)</f>
        <v>16191.9444457398</v>
      </c>
      <c r="P33" s="588">
        <f ca="1">SUMIF($AA$28:AG30,"tertiair",P28:P30)</f>
        <v>27144.341668838209</v>
      </c>
      <c r="Q33" s="588">
        <f ca="1">SUMIF($AA$28:AH30,"tertiair",Q28:Q30)</f>
        <v>2218.9027779552903</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0</v>
      </c>
      <c r="N34" s="593">
        <f>SUMIF($AA$28:$AA$30,"landbouw",N28:N30)</f>
        <v>0</v>
      </c>
      <c r="O34" s="593">
        <f>SUMIF($AA$28:$AA$30,"landbouw",O28:O30)</f>
        <v>0</v>
      </c>
      <c r="P34" s="593">
        <f>SUMIF($AA$28:$AA$30,"landbouw",P28:P30)</f>
        <v>0</v>
      </c>
      <c r="Q34" s="593">
        <f>SUMIF($AA$28:$AA$30,"landbouw",Q28:Q30)</f>
        <v>0</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v>11002</v>
      </c>
      <c r="C37" s="741"/>
      <c r="D37" s="630"/>
      <c r="E37" s="630"/>
      <c r="F37" s="630"/>
      <c r="G37" s="630"/>
      <c r="H37" s="630"/>
      <c r="I37" s="630"/>
      <c r="J37" s="740"/>
      <c r="K37" s="740"/>
      <c r="L37" s="630"/>
      <c r="M37" s="630">
        <v>4093</v>
      </c>
      <c r="N37" s="630">
        <v>6583.726000526698</v>
      </c>
      <c r="O37" s="630">
        <v>0</v>
      </c>
      <c r="P37" s="630">
        <v>0</v>
      </c>
      <c r="Q37" s="630">
        <v>0</v>
      </c>
      <c r="R37" s="630">
        <v>17740.751001419259</v>
      </c>
      <c r="S37" s="630">
        <v>0</v>
      </c>
      <c r="T37" s="630">
        <v>0</v>
      </c>
      <c r="U37" s="630">
        <v>0</v>
      </c>
      <c r="V37" s="630">
        <v>0</v>
      </c>
      <c r="W37" s="630">
        <v>0</v>
      </c>
      <c r="X37" s="630">
        <v>0</v>
      </c>
      <c r="Y37" s="630"/>
      <c r="Z37" s="630"/>
      <c r="AA37" s="631" t="s">
        <v>149</v>
      </c>
    </row>
    <row r="38" spans="1:28" s="564" customFormat="1" hidden="1">
      <c r="A38" s="586" t="s">
        <v>269</v>
      </c>
      <c r="B38" s="587"/>
      <c r="C38" s="587"/>
      <c r="D38" s="587"/>
      <c r="E38" s="587"/>
      <c r="F38" s="587"/>
      <c r="G38" s="587"/>
      <c r="H38" s="587"/>
      <c r="I38" s="587"/>
      <c r="J38" s="587"/>
      <c r="K38" s="587"/>
      <c r="L38" s="588"/>
      <c r="M38" s="588">
        <f>SUM(M37:M37)</f>
        <v>4093</v>
      </c>
      <c r="N38" s="588">
        <f>SUM(N37:N37)</f>
        <v>6583.726000526698</v>
      </c>
      <c r="O38" s="588">
        <f>SUM(O37:O37)</f>
        <v>0</v>
      </c>
      <c r="P38" s="588">
        <f>SUM(P37:P37)</f>
        <v>0</v>
      </c>
      <c r="Q38" s="588">
        <f>SUM(Q37:Q37)</f>
        <v>0</v>
      </c>
      <c r="R38" s="588">
        <f>SUM(R37:R37)</f>
        <v>17740.751001419259</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4093</v>
      </c>
      <c r="N40" s="588">
        <f>SUMIF($AA$37:$AA$38,"tertiair",N37:N38)</f>
        <v>6583.726000526698</v>
      </c>
      <c r="O40" s="588">
        <f>SUMIF($AA$37:$AA$38,"tertiair",O37:O38)</f>
        <v>0</v>
      </c>
      <c r="P40" s="588">
        <f>SUMIF($AA$37:$AA$38,"tertiair",P37:P38)</f>
        <v>0</v>
      </c>
      <c r="Q40" s="588">
        <f>SUMIF($AA$37:$AA$38,"tertiair",Q37:Q38)</f>
        <v>0</v>
      </c>
      <c r="R40" s="588">
        <f>SUMIF($AA$37:$AA$38,"tertiair",R37:R38)</f>
        <v>17740.751001419259</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0.62865332583246269</v>
      </c>
      <c r="C47" s="612">
        <f>IF(ISERROR(N31/(O31+N31)),0,N31/(N31+O31))</f>
        <v>0.37134667416753731</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12594.016151691678</v>
      </c>
      <c r="C50" s="621">
        <f>$C$47*Q31</f>
        <v>823.9821668948066</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21320.428295465921</v>
      </c>
      <c r="C51" s="623">
        <f>$B$47*Q31</f>
        <v>1394.9206110604837</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1</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17740.751001419259</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1048241.7764687473</v>
      </c>
      <c r="D10" s="637">
        <f ca="1">tertiair!C16</f>
        <v>16191.9444457398</v>
      </c>
      <c r="E10" s="637">
        <f ca="1">tertiair!D16</f>
        <v>1455192.2287544128</v>
      </c>
      <c r="F10" s="637">
        <f ca="1">tertiair!E16</f>
        <v>1179.7462244604399</v>
      </c>
      <c r="G10" s="637">
        <f ca="1">tertiair!F16</f>
        <v>162991.87177123089</v>
      </c>
      <c r="H10" s="637">
        <f>tertiair!G16</f>
        <v>0</v>
      </c>
      <c r="I10" s="637">
        <f>tertiair!H16</f>
        <v>0</v>
      </c>
      <c r="J10" s="637">
        <f>tertiair!I16</f>
        <v>0</v>
      </c>
      <c r="K10" s="637">
        <f>tertiair!J16</f>
        <v>0.99937134349546619</v>
      </c>
      <c r="L10" s="637">
        <f>tertiair!K16</f>
        <v>0</v>
      </c>
      <c r="M10" s="637">
        <f ca="1">tertiair!L16</f>
        <v>0</v>
      </c>
      <c r="N10" s="637">
        <f>tertiair!M16</f>
        <v>0</v>
      </c>
      <c r="O10" s="637">
        <f ca="1">tertiair!N16</f>
        <v>18468.993498755251</v>
      </c>
      <c r="P10" s="637">
        <f>tertiair!O16</f>
        <v>93.047954550981942</v>
      </c>
      <c r="Q10" s="638">
        <f>tertiair!P16</f>
        <v>4675.9833092780555</v>
      </c>
      <c r="R10" s="640">
        <f ca="1">SUM(C10:Q10)</f>
        <v>2707036.5917985193</v>
      </c>
      <c r="S10" s="67"/>
    </row>
    <row r="11" spans="1:19" s="439" customFormat="1">
      <c r="A11" s="757" t="s">
        <v>214</v>
      </c>
      <c r="B11" s="762"/>
      <c r="C11" s="637">
        <f>huishoudens!B8</f>
        <v>611887.88179028372</v>
      </c>
      <c r="D11" s="637">
        <f>huishoudens!C8</f>
        <v>0</v>
      </c>
      <c r="E11" s="637">
        <f>huishoudens!D8</f>
        <v>1838264.1676895656</v>
      </c>
      <c r="F11" s="637">
        <f>huishoudens!E8</f>
        <v>57720.207583784373</v>
      </c>
      <c r="G11" s="637">
        <f>huishoudens!F8</f>
        <v>731230.66593456117</v>
      </c>
      <c r="H11" s="637">
        <f>huishoudens!G8</f>
        <v>0</v>
      </c>
      <c r="I11" s="637">
        <f>huishoudens!H8</f>
        <v>0</v>
      </c>
      <c r="J11" s="637">
        <f>huishoudens!I8</f>
        <v>0</v>
      </c>
      <c r="K11" s="637">
        <f>huishoudens!J8</f>
        <v>4680.2976225826988</v>
      </c>
      <c r="L11" s="637">
        <f>huishoudens!K8</f>
        <v>0</v>
      </c>
      <c r="M11" s="637">
        <f>huishoudens!L8</f>
        <v>0</v>
      </c>
      <c r="N11" s="637">
        <f>huishoudens!M8</f>
        <v>0</v>
      </c>
      <c r="O11" s="637">
        <f>huishoudens!N8</f>
        <v>255875.43841736222</v>
      </c>
      <c r="P11" s="637">
        <f>huishoudens!O8</f>
        <v>3204.092524310056</v>
      </c>
      <c r="Q11" s="638">
        <f>huishoudens!P8</f>
        <v>3012.712361997917</v>
      </c>
      <c r="R11" s="640">
        <f>SUM(C11:Q11)</f>
        <v>3505875.463924448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372469.75794294849</v>
      </c>
      <c r="D13" s="637">
        <f>industrie!C18</f>
        <v>3363.888889158</v>
      </c>
      <c r="E13" s="637">
        <f>industrie!D18</f>
        <v>342192.83686145768</v>
      </c>
      <c r="F13" s="637">
        <f>industrie!E18</f>
        <v>2544.9325296483812</v>
      </c>
      <c r="G13" s="637">
        <f>industrie!F18</f>
        <v>70034.568299209379</v>
      </c>
      <c r="H13" s="637">
        <f>industrie!G18</f>
        <v>0</v>
      </c>
      <c r="I13" s="637">
        <f>industrie!H18</f>
        <v>0</v>
      </c>
      <c r="J13" s="637">
        <f>industrie!I18</f>
        <v>0</v>
      </c>
      <c r="K13" s="637">
        <f>industrie!J18</f>
        <v>1498.2736726668913</v>
      </c>
      <c r="L13" s="637">
        <f>industrie!K18</f>
        <v>0</v>
      </c>
      <c r="M13" s="637">
        <f>industrie!L18</f>
        <v>0</v>
      </c>
      <c r="N13" s="637">
        <f>industrie!M18</f>
        <v>0</v>
      </c>
      <c r="O13" s="637">
        <f>industrie!N18</f>
        <v>24376.490622651254</v>
      </c>
      <c r="P13" s="637">
        <f>industrie!O18</f>
        <v>0</v>
      </c>
      <c r="Q13" s="638">
        <f>industrie!P18</f>
        <v>0</v>
      </c>
      <c r="R13" s="640">
        <f>SUM(C13:Q13)</f>
        <v>816480.74881774012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2032599.4162019794</v>
      </c>
      <c r="D16" s="673">
        <f t="shared" ref="D16:R16" ca="1" si="0">SUM(D9:D15)</f>
        <v>19555.833334897801</v>
      </c>
      <c r="E16" s="673">
        <f t="shared" ca="1" si="0"/>
        <v>3635649.2333054361</v>
      </c>
      <c r="F16" s="673">
        <f t="shared" ca="1" si="0"/>
        <v>61444.886337893193</v>
      </c>
      <c r="G16" s="673">
        <f t="shared" ca="1" si="0"/>
        <v>964257.10600500146</v>
      </c>
      <c r="H16" s="673">
        <f t="shared" si="0"/>
        <v>0</v>
      </c>
      <c r="I16" s="673">
        <f t="shared" si="0"/>
        <v>0</v>
      </c>
      <c r="J16" s="673">
        <f t="shared" si="0"/>
        <v>0</v>
      </c>
      <c r="K16" s="673">
        <f t="shared" si="0"/>
        <v>6179.5706665930848</v>
      </c>
      <c r="L16" s="673">
        <f t="shared" si="0"/>
        <v>0</v>
      </c>
      <c r="M16" s="673">
        <f t="shared" ca="1" si="0"/>
        <v>0</v>
      </c>
      <c r="N16" s="673">
        <f t="shared" si="0"/>
        <v>0</v>
      </c>
      <c r="O16" s="673">
        <f t="shared" ca="1" si="0"/>
        <v>298720.92253876873</v>
      </c>
      <c r="P16" s="673">
        <f t="shared" si="0"/>
        <v>3297.140478861038</v>
      </c>
      <c r="Q16" s="673">
        <f t="shared" si="0"/>
        <v>7688.6956712759729</v>
      </c>
      <c r="R16" s="673">
        <f t="shared" ca="1" si="0"/>
        <v>7029392.8045407068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33064.244053221853</v>
      </c>
      <c r="D19" s="637">
        <f>transport!C54</f>
        <v>0</v>
      </c>
      <c r="E19" s="637">
        <f>transport!D54</f>
        <v>0</v>
      </c>
      <c r="F19" s="637">
        <f>transport!E54</f>
        <v>0</v>
      </c>
      <c r="G19" s="637">
        <f>transport!F54</f>
        <v>0</v>
      </c>
      <c r="H19" s="637">
        <f>transport!G54</f>
        <v>38147.554929736085</v>
      </c>
      <c r="I19" s="637">
        <f>transport!H54</f>
        <v>0</v>
      </c>
      <c r="J19" s="637">
        <f>transport!I54</f>
        <v>0</v>
      </c>
      <c r="K19" s="637">
        <f>transport!J54</f>
        <v>0</v>
      </c>
      <c r="L19" s="637">
        <f>transport!K54</f>
        <v>0</v>
      </c>
      <c r="M19" s="637">
        <f>transport!L54</f>
        <v>0</v>
      </c>
      <c r="N19" s="637">
        <f>transport!M54</f>
        <v>4270.1948726013052</v>
      </c>
      <c r="O19" s="637">
        <f>transport!N54</f>
        <v>0</v>
      </c>
      <c r="P19" s="637">
        <f>transport!O54</f>
        <v>0</v>
      </c>
      <c r="Q19" s="638">
        <f>transport!P54</f>
        <v>0</v>
      </c>
      <c r="R19" s="640">
        <f>SUM(C19:Q19)</f>
        <v>75481.993855559238</v>
      </c>
      <c r="S19" s="67"/>
    </row>
    <row r="20" spans="1:19" s="439" customFormat="1">
      <c r="A20" s="757" t="s">
        <v>294</v>
      </c>
      <c r="B20" s="762"/>
      <c r="C20" s="637">
        <f>transport!B14</f>
        <v>14324.9675364246</v>
      </c>
      <c r="D20" s="637">
        <f>transport!C14</f>
        <v>0</v>
      </c>
      <c r="E20" s="637">
        <f>transport!D14</f>
        <v>12208.005154912373</v>
      </c>
      <c r="F20" s="637">
        <f>transport!E14</f>
        <v>4576.0308073603665</v>
      </c>
      <c r="G20" s="637">
        <f>transport!F14</f>
        <v>0</v>
      </c>
      <c r="H20" s="637">
        <f>transport!G14</f>
        <v>2145809.4611182143</v>
      </c>
      <c r="I20" s="637">
        <f>transport!H14</f>
        <v>596830.78245756612</v>
      </c>
      <c r="J20" s="637">
        <f>transport!I14</f>
        <v>0</v>
      </c>
      <c r="K20" s="637">
        <f>transport!J14</f>
        <v>0</v>
      </c>
      <c r="L20" s="637">
        <f>transport!K14</f>
        <v>0</v>
      </c>
      <c r="M20" s="637">
        <f>transport!L14</f>
        <v>0</v>
      </c>
      <c r="N20" s="637">
        <f>transport!M14</f>
        <v>291555.34949240624</v>
      </c>
      <c r="O20" s="637">
        <f>transport!N14</f>
        <v>0</v>
      </c>
      <c r="P20" s="637">
        <f>transport!O14</f>
        <v>0</v>
      </c>
      <c r="Q20" s="638">
        <f>transport!P14</f>
        <v>0</v>
      </c>
      <c r="R20" s="640">
        <f>SUM(C20:Q20)</f>
        <v>3065304.5965668838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47389.211589646453</v>
      </c>
      <c r="D22" s="760">
        <f t="shared" ref="D22:R22" si="1">SUM(D18:D21)</f>
        <v>0</v>
      </c>
      <c r="E22" s="760">
        <f t="shared" si="1"/>
        <v>12208.005154912373</v>
      </c>
      <c r="F22" s="760">
        <f t="shared" si="1"/>
        <v>4576.0308073603665</v>
      </c>
      <c r="G22" s="760">
        <f t="shared" si="1"/>
        <v>0</v>
      </c>
      <c r="H22" s="760">
        <f t="shared" si="1"/>
        <v>2183957.0160479504</v>
      </c>
      <c r="I22" s="760">
        <f t="shared" si="1"/>
        <v>596830.78245756612</v>
      </c>
      <c r="J22" s="760">
        <f t="shared" si="1"/>
        <v>0</v>
      </c>
      <c r="K22" s="760">
        <f t="shared" si="1"/>
        <v>0</v>
      </c>
      <c r="L22" s="760">
        <f t="shared" si="1"/>
        <v>0</v>
      </c>
      <c r="M22" s="760">
        <f t="shared" si="1"/>
        <v>0</v>
      </c>
      <c r="N22" s="760">
        <f t="shared" si="1"/>
        <v>295825.54436500755</v>
      </c>
      <c r="O22" s="760">
        <f t="shared" si="1"/>
        <v>0</v>
      </c>
      <c r="P22" s="760">
        <f t="shared" si="1"/>
        <v>0</v>
      </c>
      <c r="Q22" s="760">
        <f t="shared" si="1"/>
        <v>0</v>
      </c>
      <c r="R22" s="760">
        <f t="shared" si="1"/>
        <v>3140786.5904224431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748.78735552064097</v>
      </c>
      <c r="D24" s="637">
        <f>+landbouw!C8</f>
        <v>0</v>
      </c>
      <c r="E24" s="637">
        <f>+landbouw!D8</f>
        <v>3067.8389970354865</v>
      </c>
      <c r="F24" s="637">
        <f>+landbouw!E8</f>
        <v>25.250256628088106</v>
      </c>
      <c r="G24" s="637">
        <f>+landbouw!F8</f>
        <v>2594.3180111484799</v>
      </c>
      <c r="H24" s="637">
        <f>+landbouw!G8</f>
        <v>0</v>
      </c>
      <c r="I24" s="637">
        <f>+landbouw!H8</f>
        <v>0</v>
      </c>
      <c r="J24" s="637">
        <f>+landbouw!I8</f>
        <v>0</v>
      </c>
      <c r="K24" s="637">
        <f>+landbouw!J8</f>
        <v>162.52690537672947</v>
      </c>
      <c r="L24" s="637">
        <f>+landbouw!K8</f>
        <v>0</v>
      </c>
      <c r="M24" s="637">
        <f>+landbouw!L8</f>
        <v>0</v>
      </c>
      <c r="N24" s="637">
        <f>+landbouw!M8</f>
        <v>0</v>
      </c>
      <c r="O24" s="637">
        <f>+landbouw!N8</f>
        <v>0</v>
      </c>
      <c r="P24" s="637">
        <f>+landbouw!O8</f>
        <v>0</v>
      </c>
      <c r="Q24" s="638">
        <f>+landbouw!P8</f>
        <v>0</v>
      </c>
      <c r="R24" s="640">
        <f>SUM(C24:Q24)</f>
        <v>6598.7215257094249</v>
      </c>
      <c r="S24" s="67"/>
    </row>
    <row r="25" spans="1:19" s="439" customFormat="1" ht="15" thickBot="1">
      <c r="A25" s="779" t="s">
        <v>634</v>
      </c>
      <c r="B25" s="890"/>
      <c r="C25" s="891">
        <f>IF(Onbekend_ele_kWh="---",0,Onbekend_ele_kWh)/1000+IF(REST_rest_ele_kWh="---",0,REST_rest_ele_kWh)/1000</f>
        <v>44837.2577073801</v>
      </c>
      <c r="D25" s="891"/>
      <c r="E25" s="891">
        <f>IF(onbekend_gas_kWh="---",0,onbekend_gas_kWh)/1000+IF(REST_rest_gas_kWh="---",0,REST_rest_gas_kWh)/1000</f>
        <v>139465.886637683</v>
      </c>
      <c r="F25" s="891"/>
      <c r="G25" s="891"/>
      <c r="H25" s="891"/>
      <c r="I25" s="891"/>
      <c r="J25" s="891"/>
      <c r="K25" s="891"/>
      <c r="L25" s="891"/>
      <c r="M25" s="891"/>
      <c r="N25" s="891"/>
      <c r="O25" s="891"/>
      <c r="P25" s="891"/>
      <c r="Q25" s="892"/>
      <c r="R25" s="640">
        <f>SUM(C25:Q25)</f>
        <v>184303.1443450631</v>
      </c>
      <c r="S25" s="67"/>
    </row>
    <row r="26" spans="1:19" s="439" customFormat="1" ht="15.75" thickBot="1">
      <c r="A26" s="645" t="s">
        <v>635</v>
      </c>
      <c r="B26" s="765"/>
      <c r="C26" s="760">
        <f>SUM(C24:C25)</f>
        <v>45586.045062900739</v>
      </c>
      <c r="D26" s="760">
        <f t="shared" ref="D26:R26" si="2">SUM(D24:D25)</f>
        <v>0</v>
      </c>
      <c r="E26" s="760">
        <f t="shared" si="2"/>
        <v>142533.72563471849</v>
      </c>
      <c r="F26" s="760">
        <f t="shared" si="2"/>
        <v>25.250256628088106</v>
      </c>
      <c r="G26" s="760">
        <f t="shared" si="2"/>
        <v>2594.3180111484799</v>
      </c>
      <c r="H26" s="760">
        <f t="shared" si="2"/>
        <v>0</v>
      </c>
      <c r="I26" s="760">
        <f t="shared" si="2"/>
        <v>0</v>
      </c>
      <c r="J26" s="760">
        <f t="shared" si="2"/>
        <v>0</v>
      </c>
      <c r="K26" s="760">
        <f t="shared" si="2"/>
        <v>162.52690537672947</v>
      </c>
      <c r="L26" s="760">
        <f t="shared" si="2"/>
        <v>0</v>
      </c>
      <c r="M26" s="760">
        <f t="shared" si="2"/>
        <v>0</v>
      </c>
      <c r="N26" s="760">
        <f t="shared" si="2"/>
        <v>0</v>
      </c>
      <c r="O26" s="760">
        <f t="shared" si="2"/>
        <v>0</v>
      </c>
      <c r="P26" s="760">
        <f t="shared" si="2"/>
        <v>0</v>
      </c>
      <c r="Q26" s="760">
        <f t="shared" si="2"/>
        <v>0</v>
      </c>
      <c r="R26" s="760">
        <f t="shared" si="2"/>
        <v>190901.86587077254</v>
      </c>
      <c r="S26" s="67"/>
    </row>
    <row r="27" spans="1:19" s="439" customFormat="1" ht="17.25" thickTop="1" thickBot="1">
      <c r="A27" s="646" t="s">
        <v>109</v>
      </c>
      <c r="B27" s="752"/>
      <c r="C27" s="647">
        <f ca="1">C22+C16+C26</f>
        <v>2125574.6728545264</v>
      </c>
      <c r="D27" s="647">
        <f t="shared" ref="D27:R27" ca="1" si="3">D22+D16+D26</f>
        <v>19555.833334897801</v>
      </c>
      <c r="E27" s="647">
        <f t="shared" ca="1" si="3"/>
        <v>3790390.9640950668</v>
      </c>
      <c r="F27" s="647">
        <f t="shared" ca="1" si="3"/>
        <v>66046.167401881656</v>
      </c>
      <c r="G27" s="647">
        <f t="shared" ca="1" si="3"/>
        <v>966851.42401614995</v>
      </c>
      <c r="H27" s="647">
        <f t="shared" si="3"/>
        <v>2183957.0160479504</v>
      </c>
      <c r="I27" s="647">
        <f t="shared" si="3"/>
        <v>596830.78245756612</v>
      </c>
      <c r="J27" s="647">
        <f t="shared" si="3"/>
        <v>0</v>
      </c>
      <c r="K27" s="647">
        <f t="shared" si="3"/>
        <v>6342.0975719698145</v>
      </c>
      <c r="L27" s="647">
        <f t="shared" si="3"/>
        <v>0</v>
      </c>
      <c r="M27" s="647">
        <f t="shared" ca="1" si="3"/>
        <v>0</v>
      </c>
      <c r="N27" s="647">
        <f t="shared" si="3"/>
        <v>295825.54436500755</v>
      </c>
      <c r="O27" s="647">
        <f t="shared" ca="1" si="3"/>
        <v>298720.92253876873</v>
      </c>
      <c r="P27" s="647">
        <f t="shared" si="3"/>
        <v>3297.140478861038</v>
      </c>
      <c r="Q27" s="647">
        <f t="shared" si="3"/>
        <v>7688.6956712759729</v>
      </c>
      <c r="R27" s="647">
        <f t="shared" ca="1" si="3"/>
        <v>10361081.260833921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194279.38587396112</v>
      </c>
      <c r="D40" s="637">
        <f ca="1">tertiair!C20</f>
        <v>3565.9066678845875</v>
      </c>
      <c r="E40" s="637">
        <f ca="1">tertiair!D20</f>
        <v>293948.83020839142</v>
      </c>
      <c r="F40" s="637">
        <f ca="1">tertiair!E20</f>
        <v>267.80239295251988</v>
      </c>
      <c r="G40" s="637">
        <f ca="1">tertiair!F20</f>
        <v>43518.829762918649</v>
      </c>
      <c r="H40" s="637">
        <f>tertiair!G20</f>
        <v>0</v>
      </c>
      <c r="I40" s="637">
        <f>tertiair!H20</f>
        <v>0</v>
      </c>
      <c r="J40" s="637">
        <f>tertiair!I20</f>
        <v>0</v>
      </c>
      <c r="K40" s="637">
        <f>tertiair!J20</f>
        <v>0.35377745559739504</v>
      </c>
      <c r="L40" s="637">
        <f>tertiair!K20</f>
        <v>0</v>
      </c>
      <c r="M40" s="637">
        <f ca="1">tertiair!L20</f>
        <v>0</v>
      </c>
      <c r="N40" s="637">
        <f>tertiair!M20</f>
        <v>0</v>
      </c>
      <c r="O40" s="637">
        <f ca="1">tertiair!N20</f>
        <v>0</v>
      </c>
      <c r="P40" s="637">
        <f>tertiair!O20</f>
        <v>0</v>
      </c>
      <c r="Q40" s="720">
        <f>tertiair!P20</f>
        <v>0</v>
      </c>
      <c r="R40" s="798">
        <f t="shared" ca="1" si="4"/>
        <v>535581.10868356389</v>
      </c>
    </row>
    <row r="41" spans="1:18">
      <c r="A41" s="770" t="s">
        <v>214</v>
      </c>
      <c r="B41" s="777"/>
      <c r="C41" s="637">
        <f ca="1">huishoudens!B12</f>
        <v>113406.28141954186</v>
      </c>
      <c r="D41" s="637">
        <f ca="1">huishoudens!C12</f>
        <v>0</v>
      </c>
      <c r="E41" s="637">
        <f>huishoudens!D12</f>
        <v>371329.36187329225</v>
      </c>
      <c r="F41" s="637">
        <f>huishoudens!E12</f>
        <v>13102.487121519052</v>
      </c>
      <c r="G41" s="637">
        <f>huishoudens!F12</f>
        <v>195238.58780452784</v>
      </c>
      <c r="H41" s="637">
        <f>huishoudens!G12</f>
        <v>0</v>
      </c>
      <c r="I41" s="637">
        <f>huishoudens!H12</f>
        <v>0</v>
      </c>
      <c r="J41" s="637">
        <f>huishoudens!I12</f>
        <v>0</v>
      </c>
      <c r="K41" s="637">
        <f>huishoudens!J12</f>
        <v>1656.8253583942753</v>
      </c>
      <c r="L41" s="637">
        <f>huishoudens!K12</f>
        <v>0</v>
      </c>
      <c r="M41" s="637">
        <f>huishoudens!L12</f>
        <v>0</v>
      </c>
      <c r="N41" s="637">
        <f>huishoudens!M12</f>
        <v>0</v>
      </c>
      <c r="O41" s="637">
        <f>huishoudens!N12</f>
        <v>0</v>
      </c>
      <c r="P41" s="637">
        <f>huishoudens!O12</f>
        <v>0</v>
      </c>
      <c r="Q41" s="720">
        <f>huishoudens!P12</f>
        <v>0</v>
      </c>
      <c r="R41" s="798">
        <f t="shared" ca="1" si="4"/>
        <v>694733.54357727524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69032.924897872028</v>
      </c>
      <c r="D43" s="637">
        <f ca="1">industrie!C22</f>
        <v>740.81984779952916</v>
      </c>
      <c r="E43" s="637">
        <f>industrie!D22</f>
        <v>69122.95304601446</v>
      </c>
      <c r="F43" s="637">
        <f>industrie!E22</f>
        <v>577.69968423018258</v>
      </c>
      <c r="G43" s="637">
        <f>industrie!F22</f>
        <v>18699.229735888905</v>
      </c>
      <c r="H43" s="637">
        <f>industrie!G22</f>
        <v>0</v>
      </c>
      <c r="I43" s="637">
        <f>industrie!H22</f>
        <v>0</v>
      </c>
      <c r="J43" s="637">
        <f>industrie!I22</f>
        <v>0</v>
      </c>
      <c r="K43" s="637">
        <f>industrie!J22</f>
        <v>530.38888012407949</v>
      </c>
      <c r="L43" s="637">
        <f>industrie!K22</f>
        <v>0</v>
      </c>
      <c r="M43" s="637">
        <f>industrie!L22</f>
        <v>0</v>
      </c>
      <c r="N43" s="637">
        <f>industrie!M22</f>
        <v>0</v>
      </c>
      <c r="O43" s="637">
        <f>industrie!N22</f>
        <v>0</v>
      </c>
      <c r="P43" s="637">
        <f>industrie!O22</f>
        <v>0</v>
      </c>
      <c r="Q43" s="720">
        <f>industrie!P22</f>
        <v>0</v>
      </c>
      <c r="R43" s="797">
        <f t="shared" ca="1" si="4"/>
        <v>158704.01609192917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376718.59219137498</v>
      </c>
      <c r="D46" s="673">
        <f t="shared" ref="D46:Q46" ca="1" si="5">SUM(D39:D45)</f>
        <v>4306.7265156841167</v>
      </c>
      <c r="E46" s="673">
        <f t="shared" ca="1" si="5"/>
        <v>734401.14512769808</v>
      </c>
      <c r="F46" s="673">
        <f t="shared" ca="1" si="5"/>
        <v>13947.989198701756</v>
      </c>
      <c r="G46" s="673">
        <f t="shared" ca="1" si="5"/>
        <v>257456.64730333537</v>
      </c>
      <c r="H46" s="673">
        <f t="shared" si="5"/>
        <v>0</v>
      </c>
      <c r="I46" s="673">
        <f t="shared" si="5"/>
        <v>0</v>
      </c>
      <c r="J46" s="673">
        <f t="shared" si="5"/>
        <v>0</v>
      </c>
      <c r="K46" s="673">
        <f t="shared" si="5"/>
        <v>2187.5680159739522</v>
      </c>
      <c r="L46" s="673">
        <f t="shared" si="5"/>
        <v>0</v>
      </c>
      <c r="M46" s="673">
        <f t="shared" ca="1" si="5"/>
        <v>0</v>
      </c>
      <c r="N46" s="673">
        <f t="shared" si="5"/>
        <v>0</v>
      </c>
      <c r="O46" s="673">
        <f t="shared" ca="1" si="5"/>
        <v>0</v>
      </c>
      <c r="P46" s="673">
        <f t="shared" si="5"/>
        <v>0</v>
      </c>
      <c r="Q46" s="673">
        <f t="shared" si="5"/>
        <v>0</v>
      </c>
      <c r="R46" s="673">
        <f ca="1">SUM(R39:R45)</f>
        <v>1389018.6683527683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6128.0719517652542</v>
      </c>
      <c r="D49" s="637">
        <f ca="1">transport!C58</f>
        <v>0</v>
      </c>
      <c r="E49" s="637">
        <f>transport!D58</f>
        <v>0</v>
      </c>
      <c r="F49" s="637">
        <f>transport!E58</f>
        <v>0</v>
      </c>
      <c r="G49" s="637">
        <f>transport!F58</f>
        <v>0</v>
      </c>
      <c r="H49" s="637">
        <f>transport!G58</f>
        <v>10185.397166239536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16313.46911800479</v>
      </c>
    </row>
    <row r="50" spans="1:18">
      <c r="A50" s="773" t="s">
        <v>294</v>
      </c>
      <c r="B50" s="783"/>
      <c r="C50" s="643">
        <f ca="1">transport!B18</f>
        <v>2654.9656368556075</v>
      </c>
      <c r="D50" s="643">
        <f>transport!C18</f>
        <v>0</v>
      </c>
      <c r="E50" s="643">
        <f>transport!D18</f>
        <v>2466.0170412922994</v>
      </c>
      <c r="F50" s="643">
        <f>transport!E18</f>
        <v>1038.7589932708033</v>
      </c>
      <c r="G50" s="643">
        <f>transport!F18</f>
        <v>0</v>
      </c>
      <c r="H50" s="643">
        <f>transport!G18</f>
        <v>572931.12611856323</v>
      </c>
      <c r="I50" s="643">
        <f>transport!H18</f>
        <v>148610.86483193396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727701.73262191587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8783.0375886208622</v>
      </c>
      <c r="D52" s="673">
        <f t="shared" ref="D52:Q52" ca="1" si="6">SUM(D48:D51)</f>
        <v>0</v>
      </c>
      <c r="E52" s="673">
        <f t="shared" si="6"/>
        <v>2466.0170412922994</v>
      </c>
      <c r="F52" s="673">
        <f t="shared" si="6"/>
        <v>1038.7589932708033</v>
      </c>
      <c r="G52" s="673">
        <f t="shared" si="6"/>
        <v>0</v>
      </c>
      <c r="H52" s="673">
        <f t="shared" si="6"/>
        <v>583116.5232848028</v>
      </c>
      <c r="I52" s="673">
        <f t="shared" si="6"/>
        <v>148610.86483193396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744015.20173992065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138.77900198826387</v>
      </c>
      <c r="D54" s="643">
        <f ca="1">+landbouw!C12</f>
        <v>0</v>
      </c>
      <c r="E54" s="643">
        <f>+landbouw!D12</f>
        <v>619.70347740116836</v>
      </c>
      <c r="F54" s="643">
        <f>+landbouw!E12</f>
        <v>5.7318082545760003</v>
      </c>
      <c r="G54" s="643">
        <f>+landbouw!F12</f>
        <v>692.68290897664417</v>
      </c>
      <c r="H54" s="643">
        <f>+landbouw!G12</f>
        <v>0</v>
      </c>
      <c r="I54" s="643">
        <f>+landbouw!H12</f>
        <v>0</v>
      </c>
      <c r="J54" s="643">
        <f>+landbouw!I12</f>
        <v>0</v>
      </c>
      <c r="K54" s="643">
        <f>+landbouw!J12</f>
        <v>57.534524503362228</v>
      </c>
      <c r="L54" s="643">
        <f>+landbouw!K12</f>
        <v>0</v>
      </c>
      <c r="M54" s="643">
        <f>+landbouw!L12</f>
        <v>0</v>
      </c>
      <c r="N54" s="643">
        <f>+landbouw!M12</f>
        <v>0</v>
      </c>
      <c r="O54" s="643">
        <f>+landbouw!N12</f>
        <v>0</v>
      </c>
      <c r="P54" s="643">
        <f>+landbouw!O12</f>
        <v>0</v>
      </c>
      <c r="Q54" s="644">
        <f>+landbouw!P12</f>
        <v>0</v>
      </c>
      <c r="R54" s="672">
        <f ca="1">SUM(C54:Q54)</f>
        <v>1514.4317211240145</v>
      </c>
    </row>
    <row r="55" spans="1:18" ht="15" thickBot="1">
      <c r="A55" s="773" t="s">
        <v>634</v>
      </c>
      <c r="B55" s="783"/>
      <c r="C55" s="643">
        <f ca="1">C25*'EF ele_warmte'!B12</f>
        <v>8310.0627042429733</v>
      </c>
      <c r="D55" s="643"/>
      <c r="E55" s="643">
        <f>E25*EF_CO2_aardgas</f>
        <v>28172.109100811966</v>
      </c>
      <c r="F55" s="643"/>
      <c r="G55" s="643"/>
      <c r="H55" s="643"/>
      <c r="I55" s="643"/>
      <c r="J55" s="643"/>
      <c r="K55" s="643"/>
      <c r="L55" s="643"/>
      <c r="M55" s="643"/>
      <c r="N55" s="643"/>
      <c r="O55" s="643"/>
      <c r="P55" s="643"/>
      <c r="Q55" s="644"/>
      <c r="R55" s="672">
        <f ca="1">SUM(C55:Q55)</f>
        <v>36482.171805054939</v>
      </c>
    </row>
    <row r="56" spans="1:18" ht="15.75" thickBot="1">
      <c r="A56" s="771" t="s">
        <v>635</v>
      </c>
      <c r="B56" s="784"/>
      <c r="C56" s="673">
        <f ca="1">SUM(C54:C55)</f>
        <v>8448.8417062312365</v>
      </c>
      <c r="D56" s="673">
        <f t="shared" ref="D56:Q56" ca="1" si="7">SUM(D54:D55)</f>
        <v>0</v>
      </c>
      <c r="E56" s="673">
        <f t="shared" si="7"/>
        <v>28791.812578213136</v>
      </c>
      <c r="F56" s="673">
        <f t="shared" si="7"/>
        <v>5.7318082545760003</v>
      </c>
      <c r="G56" s="673">
        <f t="shared" si="7"/>
        <v>692.68290897664417</v>
      </c>
      <c r="H56" s="673">
        <f t="shared" si="7"/>
        <v>0</v>
      </c>
      <c r="I56" s="673">
        <f t="shared" si="7"/>
        <v>0</v>
      </c>
      <c r="J56" s="673">
        <f t="shared" si="7"/>
        <v>0</v>
      </c>
      <c r="K56" s="673">
        <f t="shared" si="7"/>
        <v>57.534524503362228</v>
      </c>
      <c r="L56" s="673">
        <f t="shared" si="7"/>
        <v>0</v>
      </c>
      <c r="M56" s="673">
        <f t="shared" si="7"/>
        <v>0</v>
      </c>
      <c r="N56" s="673">
        <f t="shared" si="7"/>
        <v>0</v>
      </c>
      <c r="O56" s="673">
        <f t="shared" si="7"/>
        <v>0</v>
      </c>
      <c r="P56" s="673">
        <f t="shared" si="7"/>
        <v>0</v>
      </c>
      <c r="Q56" s="674">
        <f t="shared" si="7"/>
        <v>0</v>
      </c>
      <c r="R56" s="675">
        <f ca="1">SUM(R54:R55)</f>
        <v>37996.603526178951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393950.47148622706</v>
      </c>
      <c r="D61" s="681">
        <f t="shared" ref="D61:Q61" ca="1" si="8">D46+D52+D56</f>
        <v>4306.7265156841167</v>
      </c>
      <c r="E61" s="681">
        <f t="shared" ca="1" si="8"/>
        <v>765658.97474720352</v>
      </c>
      <c r="F61" s="681">
        <f t="shared" ca="1" si="8"/>
        <v>14992.480000227135</v>
      </c>
      <c r="G61" s="681">
        <f t="shared" ca="1" si="8"/>
        <v>258149.33021231202</v>
      </c>
      <c r="H61" s="681">
        <f t="shared" si="8"/>
        <v>583116.5232848028</v>
      </c>
      <c r="I61" s="681">
        <f t="shared" si="8"/>
        <v>148610.86483193396</v>
      </c>
      <c r="J61" s="681">
        <f t="shared" si="8"/>
        <v>0</v>
      </c>
      <c r="K61" s="681">
        <f t="shared" si="8"/>
        <v>2245.1025404773145</v>
      </c>
      <c r="L61" s="681">
        <f t="shared" si="8"/>
        <v>0</v>
      </c>
      <c r="M61" s="681">
        <f t="shared" ca="1" si="8"/>
        <v>0</v>
      </c>
      <c r="N61" s="681">
        <f t="shared" si="8"/>
        <v>0</v>
      </c>
      <c r="O61" s="681">
        <f t="shared" ca="1" si="8"/>
        <v>0</v>
      </c>
      <c r="P61" s="681">
        <f t="shared" si="8"/>
        <v>0</v>
      </c>
      <c r="Q61" s="681">
        <f t="shared" si="8"/>
        <v>0</v>
      </c>
      <c r="R61" s="681">
        <f ca="1">R46+R52+R56</f>
        <v>2171030.4736188678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0.185338335329887</v>
      </c>
      <c r="D63" s="727">
        <f t="shared" ca="1" si="9"/>
        <v>0.22022720494343095</v>
      </c>
      <c r="E63" s="916">
        <f t="shared" ca="1" si="9"/>
        <v>0.20200000000000001</v>
      </c>
      <c r="F63" s="727">
        <f t="shared" ca="1" si="9"/>
        <v>0.22699999999999998</v>
      </c>
      <c r="G63" s="727">
        <f t="shared" ca="1" si="9"/>
        <v>0.26699999999999996</v>
      </c>
      <c r="H63" s="727">
        <f t="shared" si="9"/>
        <v>0.26700000000000002</v>
      </c>
      <c r="I63" s="727">
        <f t="shared" si="9"/>
        <v>0.24899999999999997</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246120.00043632544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90249.233489516409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709.37312004453202</v>
      </c>
      <c r="C76" s="694">
        <f>'lokale energieproductie'!B8*IFERROR(SUM(D76:H76)/SUM(D76:O76),0)</f>
        <v>10842.293547546269</v>
      </c>
      <c r="D76" s="899">
        <f>'lokale energieproductie'!C8</f>
        <v>12594.016151691678</v>
      </c>
      <c r="E76" s="900">
        <f>'lokale energieproductie'!D8</f>
        <v>0</v>
      </c>
      <c r="F76" s="900">
        <f>'lokale energieproductie'!E8</f>
        <v>0</v>
      </c>
      <c r="G76" s="900">
        <f>'lokale energieproductie'!F8</f>
        <v>0</v>
      </c>
      <c r="H76" s="900">
        <f>'lokale energieproductie'!G8</f>
        <v>0</v>
      </c>
      <c r="I76" s="900">
        <f>'lokale energieproductie'!I8</f>
        <v>0</v>
      </c>
      <c r="J76" s="900">
        <f>'lokale energieproductie'!J8</f>
        <v>823.9821668948066</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2543.991262641719</v>
      </c>
      <c r="R76" s="800">
        <v>0</v>
      </c>
    </row>
    <row r="77" spans="1:18" ht="15.75" thickBot="1">
      <c r="A77" s="697" t="s">
        <v>664</v>
      </c>
      <c r="B77" s="694">
        <f>'lokale energieproductie'!B9*IFERROR(SUM(I77:O77)/SUM(D77:O77),0)</f>
        <v>6583.726000526698</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17740.751001419259</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343662.33304641308</v>
      </c>
      <c r="C78" s="699">
        <f>SUM(C72:C77)</f>
        <v>10842.293547546269</v>
      </c>
      <c r="D78" s="700">
        <f t="shared" ref="D78:H78" si="10">SUM(D76:D77)</f>
        <v>12594.016151691678</v>
      </c>
      <c r="E78" s="700">
        <f t="shared" si="10"/>
        <v>0</v>
      </c>
      <c r="F78" s="700">
        <f t="shared" si="10"/>
        <v>0</v>
      </c>
      <c r="G78" s="700">
        <f t="shared" si="10"/>
        <v>0</v>
      </c>
      <c r="H78" s="700">
        <f t="shared" si="10"/>
        <v>0</v>
      </c>
      <c r="I78" s="700">
        <f>SUM(I76:I77)</f>
        <v>0</v>
      </c>
      <c r="J78" s="700">
        <f>SUM(J76:J77)</f>
        <v>18564.733168314066</v>
      </c>
      <c r="K78" s="700">
        <f t="shared" ref="K78:L78" si="11">SUM(K76:K77)</f>
        <v>0</v>
      </c>
      <c r="L78" s="700">
        <f t="shared" si="11"/>
        <v>0</v>
      </c>
      <c r="M78" s="700">
        <f>SUM(M76:M77)</f>
        <v>0</v>
      </c>
      <c r="N78" s="700">
        <f>SUM(N76:N77)</f>
        <v>0</v>
      </c>
      <c r="O78" s="808">
        <f>SUM(O76:O77)</f>
        <v>0</v>
      </c>
      <c r="P78" s="701">
        <v>0</v>
      </c>
      <c r="Q78" s="701">
        <f>SUM(Q76:Q77)</f>
        <v>2543.991262641719</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1200.8987886369232</v>
      </c>
      <c r="C87" s="712">
        <f>'lokale energieproductie'!B17*IFERROR(SUM(D87:H87)/SUM(D87:O87),0)</f>
        <v>18354.934546260876</v>
      </c>
      <c r="D87" s="723">
        <f>'lokale energieproductie'!C17</f>
        <v>21320.428295465921</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1394.9206110604837</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4306.7265156841167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1200.8987886369232</v>
      </c>
      <c r="C90" s="699">
        <f>SUM(C87:C89)</f>
        <v>18354.934546260876</v>
      </c>
      <c r="D90" s="699">
        <f t="shared" ref="D90:H90" si="12">SUM(D87:D89)</f>
        <v>21320.428295465921</v>
      </c>
      <c r="E90" s="699">
        <f t="shared" si="12"/>
        <v>0</v>
      </c>
      <c r="F90" s="699">
        <f t="shared" si="12"/>
        <v>0</v>
      </c>
      <c r="G90" s="699">
        <f t="shared" si="12"/>
        <v>0</v>
      </c>
      <c r="H90" s="699">
        <f t="shared" si="12"/>
        <v>0</v>
      </c>
      <c r="I90" s="699">
        <f>SUM(I87:I89)</f>
        <v>0</v>
      </c>
      <c r="J90" s="699">
        <f>SUM(J87:J89)</f>
        <v>1394.9206110604837</v>
      </c>
      <c r="K90" s="699">
        <f t="shared" ref="K90:L90" si="13">SUM(K87:K89)</f>
        <v>0</v>
      </c>
      <c r="L90" s="699">
        <f t="shared" si="13"/>
        <v>0</v>
      </c>
      <c r="M90" s="699">
        <f>SUM(M87:M89)</f>
        <v>0</v>
      </c>
      <c r="N90" s="699">
        <f>SUM(N87:N89)</f>
        <v>0</v>
      </c>
      <c r="O90" s="699">
        <f>SUM(O87:O89)</f>
        <v>0</v>
      </c>
      <c r="P90" s="699">
        <v>0</v>
      </c>
      <c r="Q90" s="699">
        <f>SUM(Q87:Q89)</f>
        <v>4306.7265156841167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611887.88179028372</v>
      </c>
      <c r="C4" s="443">
        <f>huishoudens!C8</f>
        <v>0</v>
      </c>
      <c r="D4" s="443">
        <f>huishoudens!D8</f>
        <v>1838264.1676895656</v>
      </c>
      <c r="E4" s="443">
        <f>huishoudens!E8</f>
        <v>57720.207583784373</v>
      </c>
      <c r="F4" s="443">
        <f>huishoudens!F8</f>
        <v>731230.66593456117</v>
      </c>
      <c r="G4" s="443">
        <f>huishoudens!G8</f>
        <v>0</v>
      </c>
      <c r="H4" s="443">
        <f>huishoudens!H8</f>
        <v>0</v>
      </c>
      <c r="I4" s="443">
        <f>huishoudens!I8</f>
        <v>0</v>
      </c>
      <c r="J4" s="443">
        <f>huishoudens!J8</f>
        <v>4680.2976225826988</v>
      </c>
      <c r="K4" s="443">
        <f>huishoudens!K8</f>
        <v>0</v>
      </c>
      <c r="L4" s="443">
        <f>huishoudens!L8</f>
        <v>0</v>
      </c>
      <c r="M4" s="443">
        <f>huishoudens!M8</f>
        <v>0</v>
      </c>
      <c r="N4" s="443">
        <f>huishoudens!N8</f>
        <v>255875.43841736222</v>
      </c>
      <c r="O4" s="443">
        <f>huishoudens!O8</f>
        <v>3204.092524310056</v>
      </c>
      <c r="P4" s="444">
        <f>huishoudens!P8</f>
        <v>3012.712361997917</v>
      </c>
      <c r="Q4" s="445">
        <f>SUM(B4:P4)</f>
        <v>3505875.463924448</v>
      </c>
    </row>
    <row r="5" spans="1:17">
      <c r="A5" s="442" t="s">
        <v>149</v>
      </c>
      <c r="B5" s="443">
        <f ca="1">tertiair!B16</f>
        <v>1021041.2283306844</v>
      </c>
      <c r="C5" s="443">
        <f ca="1">tertiair!C16</f>
        <v>16191.9444457398</v>
      </c>
      <c r="D5" s="443">
        <f ca="1">tertiair!D16</f>
        <v>1455192.2287544128</v>
      </c>
      <c r="E5" s="443">
        <f ca="1">tertiair!E16</f>
        <v>1179.7462244604399</v>
      </c>
      <c r="F5" s="443">
        <f ca="1">tertiair!F16</f>
        <v>162991.87177123089</v>
      </c>
      <c r="G5" s="443">
        <f>tertiair!G16</f>
        <v>0</v>
      </c>
      <c r="H5" s="443">
        <f>tertiair!H16</f>
        <v>0</v>
      </c>
      <c r="I5" s="443">
        <f>tertiair!I16</f>
        <v>0</v>
      </c>
      <c r="J5" s="443">
        <f>tertiair!J16</f>
        <v>0.99937134349546619</v>
      </c>
      <c r="K5" s="443">
        <f>tertiair!K16</f>
        <v>0</v>
      </c>
      <c r="L5" s="443">
        <f ca="1">tertiair!L16</f>
        <v>0</v>
      </c>
      <c r="M5" s="443">
        <f>tertiair!M16</f>
        <v>0</v>
      </c>
      <c r="N5" s="443">
        <f ca="1">tertiair!N16</f>
        <v>18468.993498755251</v>
      </c>
      <c r="O5" s="443">
        <f>tertiair!O16</f>
        <v>93.047954550981942</v>
      </c>
      <c r="P5" s="444">
        <f>tertiair!P16</f>
        <v>4675.9833092780555</v>
      </c>
      <c r="Q5" s="442">
        <f t="shared" ref="Q5:Q14" ca="1" si="0">SUM(B5:P5)</f>
        <v>2679836.0436604563</v>
      </c>
    </row>
    <row r="6" spans="1:17">
      <c r="A6" s="442" t="s">
        <v>187</v>
      </c>
      <c r="B6" s="443">
        <f>'openbare verlichting'!B8</f>
        <v>27200.548138062903</v>
      </c>
      <c r="C6" s="443"/>
      <c r="D6" s="443"/>
      <c r="E6" s="443"/>
      <c r="F6" s="443"/>
      <c r="G6" s="443"/>
      <c r="H6" s="443"/>
      <c r="I6" s="443"/>
      <c r="J6" s="443"/>
      <c r="K6" s="443"/>
      <c r="L6" s="443"/>
      <c r="M6" s="443"/>
      <c r="N6" s="443"/>
      <c r="O6" s="443"/>
      <c r="P6" s="444"/>
      <c r="Q6" s="442">
        <f t="shared" si="0"/>
        <v>27200.548138062903</v>
      </c>
    </row>
    <row r="7" spans="1:17">
      <c r="A7" s="442" t="s">
        <v>105</v>
      </c>
      <c r="B7" s="443">
        <f>landbouw!B8</f>
        <v>748.78735552064097</v>
      </c>
      <c r="C7" s="443">
        <f>landbouw!C8</f>
        <v>0</v>
      </c>
      <c r="D7" s="443">
        <f>landbouw!D8</f>
        <v>3067.8389970354865</v>
      </c>
      <c r="E7" s="443">
        <f>landbouw!E8</f>
        <v>25.250256628088106</v>
      </c>
      <c r="F7" s="443">
        <f>landbouw!F8</f>
        <v>2594.3180111484799</v>
      </c>
      <c r="G7" s="443">
        <f>landbouw!G8</f>
        <v>0</v>
      </c>
      <c r="H7" s="443">
        <f>landbouw!H8</f>
        <v>0</v>
      </c>
      <c r="I7" s="443">
        <f>landbouw!I8</f>
        <v>0</v>
      </c>
      <c r="J7" s="443">
        <f>landbouw!J8</f>
        <v>162.52690537672947</v>
      </c>
      <c r="K7" s="443">
        <f>landbouw!K8</f>
        <v>0</v>
      </c>
      <c r="L7" s="443">
        <f>landbouw!L8</f>
        <v>0</v>
      </c>
      <c r="M7" s="443">
        <f>landbouw!M8</f>
        <v>0</v>
      </c>
      <c r="N7" s="443">
        <f>landbouw!N8</f>
        <v>0</v>
      </c>
      <c r="O7" s="443">
        <f>landbouw!O8</f>
        <v>0</v>
      </c>
      <c r="P7" s="444">
        <f>landbouw!P8</f>
        <v>0</v>
      </c>
      <c r="Q7" s="442">
        <f t="shared" si="0"/>
        <v>6598.7215257094249</v>
      </c>
    </row>
    <row r="8" spans="1:17">
      <c r="A8" s="442" t="s">
        <v>569</v>
      </c>
      <c r="B8" s="443">
        <f>industrie!B18</f>
        <v>372469.75794294849</v>
      </c>
      <c r="C8" s="443">
        <f>industrie!C18</f>
        <v>3363.888889158</v>
      </c>
      <c r="D8" s="443">
        <f>industrie!D18</f>
        <v>342192.83686145768</v>
      </c>
      <c r="E8" s="443">
        <f>industrie!E18</f>
        <v>2544.9325296483812</v>
      </c>
      <c r="F8" s="443">
        <f>industrie!F18</f>
        <v>70034.568299209379</v>
      </c>
      <c r="G8" s="443">
        <f>industrie!G18</f>
        <v>0</v>
      </c>
      <c r="H8" s="443">
        <f>industrie!H18</f>
        <v>0</v>
      </c>
      <c r="I8" s="443">
        <f>industrie!I18</f>
        <v>0</v>
      </c>
      <c r="J8" s="443">
        <f>industrie!J18</f>
        <v>1498.2736726668913</v>
      </c>
      <c r="K8" s="443">
        <f>industrie!K18</f>
        <v>0</v>
      </c>
      <c r="L8" s="443">
        <f>industrie!L18</f>
        <v>0</v>
      </c>
      <c r="M8" s="443">
        <f>industrie!M18</f>
        <v>0</v>
      </c>
      <c r="N8" s="443">
        <f>industrie!N18</f>
        <v>24376.490622651254</v>
      </c>
      <c r="O8" s="443">
        <f>industrie!O18</f>
        <v>0</v>
      </c>
      <c r="P8" s="444">
        <f>industrie!P18</f>
        <v>0</v>
      </c>
      <c r="Q8" s="442">
        <f t="shared" si="0"/>
        <v>816480.74881774012</v>
      </c>
    </row>
    <row r="9" spans="1:17" s="448" customFormat="1">
      <c r="A9" s="446" t="s">
        <v>521</v>
      </c>
      <c r="B9" s="447">
        <f>transport!B14</f>
        <v>14324.9675364246</v>
      </c>
      <c r="C9" s="447">
        <f>transport!C14</f>
        <v>0</v>
      </c>
      <c r="D9" s="447">
        <f>transport!D14</f>
        <v>12208.005154912373</v>
      </c>
      <c r="E9" s="447">
        <f>transport!E14</f>
        <v>4576.0308073603665</v>
      </c>
      <c r="F9" s="447">
        <f>transport!F14</f>
        <v>0</v>
      </c>
      <c r="G9" s="447">
        <f>transport!G14</f>
        <v>2145809.4611182143</v>
      </c>
      <c r="H9" s="447">
        <f>transport!H14</f>
        <v>596830.78245756612</v>
      </c>
      <c r="I9" s="447">
        <f>transport!I14</f>
        <v>0</v>
      </c>
      <c r="J9" s="447">
        <f>transport!J14</f>
        <v>0</v>
      </c>
      <c r="K9" s="447">
        <f>transport!K14</f>
        <v>0</v>
      </c>
      <c r="L9" s="447">
        <f>transport!L14</f>
        <v>0</v>
      </c>
      <c r="M9" s="447">
        <f>transport!M14</f>
        <v>291555.34949240624</v>
      </c>
      <c r="N9" s="447">
        <f>transport!N14</f>
        <v>0</v>
      </c>
      <c r="O9" s="447">
        <f>transport!O14</f>
        <v>0</v>
      </c>
      <c r="P9" s="447">
        <f>transport!P14</f>
        <v>0</v>
      </c>
      <c r="Q9" s="446">
        <f>SUM(B9:P9)</f>
        <v>3065304.5965668838</v>
      </c>
    </row>
    <row r="10" spans="1:17">
      <c r="A10" s="442" t="s">
        <v>511</v>
      </c>
      <c r="B10" s="443">
        <f>transport!B54</f>
        <v>33064.244053221853</v>
      </c>
      <c r="C10" s="443">
        <f>transport!C54</f>
        <v>0</v>
      </c>
      <c r="D10" s="443">
        <f>transport!D54</f>
        <v>0</v>
      </c>
      <c r="E10" s="443">
        <f>transport!E54</f>
        <v>0</v>
      </c>
      <c r="F10" s="443">
        <f>transport!F54</f>
        <v>0</v>
      </c>
      <c r="G10" s="443">
        <f>transport!G54</f>
        <v>38147.554929736085</v>
      </c>
      <c r="H10" s="443">
        <f>transport!H54</f>
        <v>0</v>
      </c>
      <c r="I10" s="443">
        <f>transport!I54</f>
        <v>0</v>
      </c>
      <c r="J10" s="443">
        <f>transport!J54</f>
        <v>0</v>
      </c>
      <c r="K10" s="443">
        <f>transport!K54</f>
        <v>0</v>
      </c>
      <c r="L10" s="443">
        <f>transport!L54</f>
        <v>0</v>
      </c>
      <c r="M10" s="443">
        <f>transport!M54</f>
        <v>4270.1948726013052</v>
      </c>
      <c r="N10" s="443">
        <f>transport!N54</f>
        <v>0</v>
      </c>
      <c r="O10" s="443">
        <f>transport!O54</f>
        <v>0</v>
      </c>
      <c r="P10" s="444">
        <f>transport!P54</f>
        <v>0</v>
      </c>
      <c r="Q10" s="442">
        <f t="shared" si="0"/>
        <v>75481.993855559238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44837.2577073801</v>
      </c>
      <c r="C14" s="450"/>
      <c r="D14" s="450">
        <f>'SEAP template'!E25</f>
        <v>139465.886637683</v>
      </c>
      <c r="E14" s="450"/>
      <c r="F14" s="450"/>
      <c r="G14" s="450"/>
      <c r="H14" s="450"/>
      <c r="I14" s="450"/>
      <c r="J14" s="450"/>
      <c r="K14" s="450"/>
      <c r="L14" s="450"/>
      <c r="M14" s="450"/>
      <c r="N14" s="450"/>
      <c r="O14" s="450"/>
      <c r="P14" s="451"/>
      <c r="Q14" s="442">
        <f t="shared" si="0"/>
        <v>184303.1443450631</v>
      </c>
    </row>
    <row r="15" spans="1:17" s="454" customFormat="1">
      <c r="A15" s="452" t="s">
        <v>515</v>
      </c>
      <c r="B15" s="453">
        <f ca="1">SUM(B4:B14)</f>
        <v>2125574.6728545264</v>
      </c>
      <c r="C15" s="453">
        <f t="shared" ref="C15:Q15" ca="1" si="1">SUM(C4:C14)</f>
        <v>19555.833334897801</v>
      </c>
      <c r="D15" s="453">
        <f t="shared" ca="1" si="1"/>
        <v>3790390.9640950668</v>
      </c>
      <c r="E15" s="453">
        <f t="shared" ca="1" si="1"/>
        <v>66046.167401881656</v>
      </c>
      <c r="F15" s="453">
        <f t="shared" ca="1" si="1"/>
        <v>966851.42401614995</v>
      </c>
      <c r="G15" s="453">
        <f t="shared" si="1"/>
        <v>2183957.0160479504</v>
      </c>
      <c r="H15" s="453">
        <f t="shared" si="1"/>
        <v>596830.78245756612</v>
      </c>
      <c r="I15" s="453">
        <f t="shared" si="1"/>
        <v>0</v>
      </c>
      <c r="J15" s="453">
        <f t="shared" si="1"/>
        <v>6342.0975719698145</v>
      </c>
      <c r="K15" s="453">
        <f t="shared" si="1"/>
        <v>0</v>
      </c>
      <c r="L15" s="453">
        <f t="shared" ca="1" si="1"/>
        <v>0</v>
      </c>
      <c r="M15" s="453">
        <f t="shared" si="1"/>
        <v>295825.54436500755</v>
      </c>
      <c r="N15" s="453">
        <f t="shared" ca="1" si="1"/>
        <v>298720.92253876873</v>
      </c>
      <c r="O15" s="453">
        <f t="shared" si="1"/>
        <v>3297.140478861038</v>
      </c>
      <c r="P15" s="453">
        <f t="shared" si="1"/>
        <v>7688.6956712759729</v>
      </c>
      <c r="Q15" s="453">
        <f t="shared" ca="1" si="1"/>
        <v>10361081.260833923</v>
      </c>
    </row>
    <row r="17" spans="1:17">
      <c r="A17" s="455" t="s">
        <v>516</v>
      </c>
      <c r="B17" s="732">
        <f ca="1">huishoudens!B10</f>
        <v>0.185338335329887</v>
      </c>
      <c r="C17" s="732">
        <f ca="1">huishoudens!C10</f>
        <v>0.22022720494343095</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113406.28141954186</v>
      </c>
      <c r="C22" s="443">
        <f t="shared" ref="C22:C32" ca="1" si="3">C4*$C$17</f>
        <v>0</v>
      </c>
      <c r="D22" s="443">
        <f t="shared" ref="D22:D32" si="4">D4*$D$17</f>
        <v>371329.36187329225</v>
      </c>
      <c r="E22" s="443">
        <f t="shared" ref="E22:E32" si="5">E4*$E$17</f>
        <v>13102.487121519052</v>
      </c>
      <c r="F22" s="443">
        <f t="shared" ref="F22:F32" si="6">F4*$F$17</f>
        <v>195238.58780452784</v>
      </c>
      <c r="G22" s="443">
        <f t="shared" ref="G22:G32" si="7">G4*$G$17</f>
        <v>0</v>
      </c>
      <c r="H22" s="443">
        <f t="shared" ref="H22:H32" si="8">H4*$H$17</f>
        <v>0</v>
      </c>
      <c r="I22" s="443">
        <f t="shared" ref="I22:I32" si="9">I4*$I$17</f>
        <v>0</v>
      </c>
      <c r="J22" s="443">
        <f t="shared" ref="J22:J32" si="10">J4*$J$17</f>
        <v>1656.8253583942753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694733.54357727524</v>
      </c>
    </row>
    <row r="23" spans="1:17">
      <c r="A23" s="442" t="s">
        <v>149</v>
      </c>
      <c r="B23" s="443">
        <f t="shared" ca="1" si="2"/>
        <v>189238.08156199209</v>
      </c>
      <c r="C23" s="443">
        <f t="shared" ca="1" si="3"/>
        <v>3565.9066678845875</v>
      </c>
      <c r="D23" s="443">
        <f t="shared" ca="1" si="4"/>
        <v>293948.83020839142</v>
      </c>
      <c r="E23" s="443">
        <f t="shared" ca="1" si="5"/>
        <v>267.80239295251988</v>
      </c>
      <c r="F23" s="443">
        <f t="shared" ca="1" si="6"/>
        <v>43518.829762918649</v>
      </c>
      <c r="G23" s="443">
        <f t="shared" si="7"/>
        <v>0</v>
      </c>
      <c r="H23" s="443">
        <f t="shared" si="8"/>
        <v>0</v>
      </c>
      <c r="I23" s="443">
        <f t="shared" si="9"/>
        <v>0</v>
      </c>
      <c r="J23" s="443">
        <f t="shared" si="10"/>
        <v>0.35377745559739504</v>
      </c>
      <c r="K23" s="443">
        <f t="shared" si="11"/>
        <v>0</v>
      </c>
      <c r="L23" s="443">
        <f t="shared" ca="1" si="12"/>
        <v>0</v>
      </c>
      <c r="M23" s="443">
        <f t="shared" si="13"/>
        <v>0</v>
      </c>
      <c r="N23" s="443">
        <f t="shared" ca="1" si="14"/>
        <v>0</v>
      </c>
      <c r="O23" s="443">
        <f t="shared" si="15"/>
        <v>0</v>
      </c>
      <c r="P23" s="444">
        <f t="shared" si="16"/>
        <v>0</v>
      </c>
      <c r="Q23" s="442">
        <f t="shared" ref="Q23:Q31" ca="1" si="17">SUM(B23:P23)</f>
        <v>530539.80437159492</v>
      </c>
    </row>
    <row r="24" spans="1:17">
      <c r="A24" s="442" t="s">
        <v>187</v>
      </c>
      <c r="B24" s="443">
        <f t="shared" ca="1" si="2"/>
        <v>5041.3043119690356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5041.3043119690356</v>
      </c>
    </row>
    <row r="25" spans="1:17">
      <c r="A25" s="442" t="s">
        <v>105</v>
      </c>
      <c r="B25" s="443">
        <f t="shared" ca="1" si="2"/>
        <v>138.77900198826387</v>
      </c>
      <c r="C25" s="443">
        <f t="shared" ca="1" si="3"/>
        <v>0</v>
      </c>
      <c r="D25" s="443">
        <f t="shared" si="4"/>
        <v>619.70347740116836</v>
      </c>
      <c r="E25" s="443">
        <f t="shared" si="5"/>
        <v>5.7318082545760003</v>
      </c>
      <c r="F25" s="443">
        <f t="shared" si="6"/>
        <v>692.68290897664417</v>
      </c>
      <c r="G25" s="443">
        <f t="shared" si="7"/>
        <v>0</v>
      </c>
      <c r="H25" s="443">
        <f t="shared" si="8"/>
        <v>0</v>
      </c>
      <c r="I25" s="443">
        <f t="shared" si="9"/>
        <v>0</v>
      </c>
      <c r="J25" s="443">
        <f t="shared" si="10"/>
        <v>57.534524503362228</v>
      </c>
      <c r="K25" s="443">
        <f t="shared" si="11"/>
        <v>0</v>
      </c>
      <c r="L25" s="443">
        <f t="shared" si="12"/>
        <v>0</v>
      </c>
      <c r="M25" s="443">
        <f t="shared" si="13"/>
        <v>0</v>
      </c>
      <c r="N25" s="443">
        <f t="shared" si="14"/>
        <v>0</v>
      </c>
      <c r="O25" s="443">
        <f t="shared" si="15"/>
        <v>0</v>
      </c>
      <c r="P25" s="444">
        <f t="shared" si="16"/>
        <v>0</v>
      </c>
      <c r="Q25" s="442">
        <f t="shared" ca="1" si="17"/>
        <v>1514.4317211240145</v>
      </c>
    </row>
    <row r="26" spans="1:17">
      <c r="A26" s="442" t="s">
        <v>569</v>
      </c>
      <c r="B26" s="443">
        <f t="shared" ca="1" si="2"/>
        <v>69032.924897872028</v>
      </c>
      <c r="C26" s="443">
        <f t="shared" ca="1" si="3"/>
        <v>740.81984779952916</v>
      </c>
      <c r="D26" s="443">
        <f t="shared" si="4"/>
        <v>69122.95304601446</v>
      </c>
      <c r="E26" s="443">
        <f t="shared" si="5"/>
        <v>577.69968423018258</v>
      </c>
      <c r="F26" s="443">
        <f t="shared" si="6"/>
        <v>18699.229735888905</v>
      </c>
      <c r="G26" s="443">
        <f t="shared" si="7"/>
        <v>0</v>
      </c>
      <c r="H26" s="443">
        <f t="shared" si="8"/>
        <v>0</v>
      </c>
      <c r="I26" s="443">
        <f t="shared" si="9"/>
        <v>0</v>
      </c>
      <c r="J26" s="443">
        <f t="shared" si="10"/>
        <v>530.38888012407949</v>
      </c>
      <c r="K26" s="443">
        <f t="shared" si="11"/>
        <v>0</v>
      </c>
      <c r="L26" s="443">
        <f t="shared" si="12"/>
        <v>0</v>
      </c>
      <c r="M26" s="443">
        <f t="shared" si="13"/>
        <v>0</v>
      </c>
      <c r="N26" s="443">
        <f t="shared" si="14"/>
        <v>0</v>
      </c>
      <c r="O26" s="443">
        <f t="shared" si="15"/>
        <v>0</v>
      </c>
      <c r="P26" s="444">
        <f t="shared" si="16"/>
        <v>0</v>
      </c>
      <c r="Q26" s="442">
        <f t="shared" ca="1" si="17"/>
        <v>158704.01609192917</v>
      </c>
    </row>
    <row r="27" spans="1:17" s="448" customFormat="1">
      <c r="A27" s="446" t="s">
        <v>521</v>
      </c>
      <c r="B27" s="726">
        <f t="shared" ca="1" si="2"/>
        <v>2654.9656368556075</v>
      </c>
      <c r="C27" s="447">
        <f t="shared" ca="1" si="3"/>
        <v>0</v>
      </c>
      <c r="D27" s="447">
        <f t="shared" si="4"/>
        <v>2466.0170412922994</v>
      </c>
      <c r="E27" s="447">
        <f t="shared" si="5"/>
        <v>1038.7589932708033</v>
      </c>
      <c r="F27" s="447">
        <f t="shared" si="6"/>
        <v>0</v>
      </c>
      <c r="G27" s="447">
        <f t="shared" si="7"/>
        <v>572931.12611856323</v>
      </c>
      <c r="H27" s="447">
        <f t="shared" si="8"/>
        <v>148610.86483193396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727701.73262191587</v>
      </c>
    </row>
    <row r="28" spans="1:17" ht="16.5" customHeight="1">
      <c r="A28" s="442" t="s">
        <v>511</v>
      </c>
      <c r="B28" s="443">
        <f t="shared" ca="1" si="2"/>
        <v>6128.0719517652542</v>
      </c>
      <c r="C28" s="443">
        <f t="shared" ca="1" si="3"/>
        <v>0</v>
      </c>
      <c r="D28" s="443">
        <f t="shared" si="4"/>
        <v>0</v>
      </c>
      <c r="E28" s="443">
        <f t="shared" si="5"/>
        <v>0</v>
      </c>
      <c r="F28" s="443">
        <f t="shared" si="6"/>
        <v>0</v>
      </c>
      <c r="G28" s="443">
        <f t="shared" si="7"/>
        <v>10185.397166239536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16313.46911800479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8310.0627042429733</v>
      </c>
      <c r="C32" s="443">
        <f t="shared" ca="1" si="3"/>
        <v>0</v>
      </c>
      <c r="D32" s="443">
        <f t="shared" si="4"/>
        <v>28172.109100811966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36482.171805054939</v>
      </c>
    </row>
    <row r="33" spans="1:17" s="454" customFormat="1">
      <c r="A33" s="452" t="s">
        <v>515</v>
      </c>
      <c r="B33" s="453">
        <f ca="1">SUM(B22:B32)</f>
        <v>393950.47148622718</v>
      </c>
      <c r="C33" s="453">
        <f t="shared" ref="C33:Q33" ca="1" si="19">SUM(C22:C32)</f>
        <v>4306.7265156841167</v>
      </c>
      <c r="D33" s="453">
        <f t="shared" ca="1" si="19"/>
        <v>765658.97474720352</v>
      </c>
      <c r="E33" s="453">
        <f t="shared" ca="1" si="19"/>
        <v>14992.480000227135</v>
      </c>
      <c r="F33" s="453">
        <f t="shared" ca="1" si="19"/>
        <v>258149.33021231205</v>
      </c>
      <c r="G33" s="453">
        <f t="shared" si="19"/>
        <v>583116.5232848028</v>
      </c>
      <c r="H33" s="453">
        <f t="shared" si="19"/>
        <v>148610.86483193396</v>
      </c>
      <c r="I33" s="453">
        <f t="shared" si="19"/>
        <v>0</v>
      </c>
      <c r="J33" s="453">
        <f t="shared" si="19"/>
        <v>2245.1025404773145</v>
      </c>
      <c r="K33" s="453">
        <f t="shared" si="19"/>
        <v>0</v>
      </c>
      <c r="L33" s="453">
        <f t="shared" ca="1" si="19"/>
        <v>0</v>
      </c>
      <c r="M33" s="453">
        <f t="shared" si="19"/>
        <v>0</v>
      </c>
      <c r="N33" s="453">
        <f t="shared" ca="1" si="19"/>
        <v>0</v>
      </c>
      <c r="O33" s="453">
        <f t="shared" si="19"/>
        <v>0</v>
      </c>
      <c r="P33" s="453">
        <f t="shared" si="19"/>
        <v>0</v>
      </c>
      <c r="Q33" s="453">
        <f t="shared" ca="1" si="19"/>
        <v>2171030.4736188678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246120.00043632544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90249.233489516409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709.37312004453202</v>
      </c>
      <c r="C8" s="967">
        <f>'SEAP template'!C76</f>
        <v>10842.293547546269</v>
      </c>
      <c r="D8" s="967">
        <f>'SEAP template'!D76</f>
        <v>12594.016151691678</v>
      </c>
      <c r="E8" s="967">
        <f>'SEAP template'!E76</f>
        <v>0</v>
      </c>
      <c r="F8" s="967">
        <f>'SEAP template'!F76</f>
        <v>0</v>
      </c>
      <c r="G8" s="967">
        <f>'SEAP template'!G76</f>
        <v>0</v>
      </c>
      <c r="H8" s="967">
        <f>'SEAP template'!H76</f>
        <v>0</v>
      </c>
      <c r="I8" s="967">
        <f>'SEAP template'!I76</f>
        <v>0</v>
      </c>
      <c r="J8" s="967">
        <f>'SEAP template'!J76</f>
        <v>823.9821668948066</v>
      </c>
      <c r="K8" s="967">
        <f>'SEAP template'!K76</f>
        <v>0</v>
      </c>
      <c r="L8" s="967">
        <f>'SEAP template'!L76</f>
        <v>0</v>
      </c>
      <c r="M8" s="967">
        <f>'SEAP template'!M76</f>
        <v>0</v>
      </c>
      <c r="N8" s="967">
        <f>'SEAP template'!N76</f>
        <v>0</v>
      </c>
      <c r="O8" s="967">
        <f>'SEAP template'!O76</f>
        <v>0</v>
      </c>
      <c r="P8" s="968">
        <f>'SEAP template'!Q76</f>
        <v>2543.991262641719</v>
      </c>
    </row>
    <row r="9" spans="1:16">
      <c r="A9" s="973" t="s">
        <v>665</v>
      </c>
      <c r="B9" s="967">
        <f>'SEAP template'!B77</f>
        <v>6583.726000526698</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17740.751001419259</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343662.33304641308</v>
      </c>
      <c r="C10" s="969">
        <f>SUM(C4:C9)</f>
        <v>10842.293547546269</v>
      </c>
      <c r="D10" s="969">
        <f t="shared" ref="D10:H10" si="0">SUM(D8:D9)</f>
        <v>12594.016151691678</v>
      </c>
      <c r="E10" s="969">
        <f t="shared" si="0"/>
        <v>0</v>
      </c>
      <c r="F10" s="969">
        <f t="shared" si="0"/>
        <v>0</v>
      </c>
      <c r="G10" s="969">
        <f t="shared" si="0"/>
        <v>0</v>
      </c>
      <c r="H10" s="969">
        <f t="shared" si="0"/>
        <v>0</v>
      </c>
      <c r="I10" s="969">
        <f>SUM(I8:I9)</f>
        <v>0</v>
      </c>
      <c r="J10" s="969">
        <f>SUM(J8:J9)</f>
        <v>18564.733168314066</v>
      </c>
      <c r="K10" s="969">
        <f t="shared" ref="K10:L10" si="1">SUM(K8:K9)</f>
        <v>0</v>
      </c>
      <c r="L10" s="969">
        <f t="shared" si="1"/>
        <v>0</v>
      </c>
      <c r="M10" s="969">
        <f>SUM(M8:M9)</f>
        <v>0</v>
      </c>
      <c r="N10" s="969">
        <f>SUM(N8:N9)</f>
        <v>0</v>
      </c>
      <c r="O10" s="969">
        <f>SUM(O8:O9)</f>
        <v>0</v>
      </c>
      <c r="P10" s="969">
        <f>SUM(P8:P9)</f>
        <v>2543.991262641719</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0.185338335329887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1200.8987886369232</v>
      </c>
      <c r="C17" s="970">
        <f>'SEAP template'!C87</f>
        <v>18354.934546260876</v>
      </c>
      <c r="D17" s="968">
        <f>'SEAP template'!D87</f>
        <v>21320.428295465921</v>
      </c>
      <c r="E17" s="968">
        <f>'SEAP template'!E87</f>
        <v>0</v>
      </c>
      <c r="F17" s="968">
        <f>'SEAP template'!F87</f>
        <v>0</v>
      </c>
      <c r="G17" s="968">
        <f>'SEAP template'!G87</f>
        <v>0</v>
      </c>
      <c r="H17" s="968">
        <f>'SEAP template'!H87</f>
        <v>0</v>
      </c>
      <c r="I17" s="968">
        <f>'SEAP template'!I87</f>
        <v>0</v>
      </c>
      <c r="J17" s="968">
        <f>'SEAP template'!J87</f>
        <v>1394.9206110604837</v>
      </c>
      <c r="K17" s="968">
        <f>'SEAP template'!K87</f>
        <v>0</v>
      </c>
      <c r="L17" s="968">
        <f>'SEAP template'!L87</f>
        <v>0</v>
      </c>
      <c r="M17" s="968">
        <f>'SEAP template'!M87</f>
        <v>0</v>
      </c>
      <c r="N17" s="968">
        <f>'SEAP template'!N87</f>
        <v>0</v>
      </c>
      <c r="O17" s="968">
        <f>'SEAP template'!O87</f>
        <v>0</v>
      </c>
      <c r="P17" s="968">
        <f>'SEAP template'!Q87</f>
        <v>4306.7265156841167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1200.8987886369232</v>
      </c>
      <c r="C20" s="969">
        <f>SUM(C17:C19)</f>
        <v>18354.934546260876</v>
      </c>
      <c r="D20" s="969">
        <f t="shared" ref="D20:H20" si="2">SUM(D17:D19)</f>
        <v>21320.428295465921</v>
      </c>
      <c r="E20" s="969">
        <f t="shared" si="2"/>
        <v>0</v>
      </c>
      <c r="F20" s="969">
        <f t="shared" si="2"/>
        <v>0</v>
      </c>
      <c r="G20" s="969">
        <f t="shared" si="2"/>
        <v>0</v>
      </c>
      <c r="H20" s="969">
        <f t="shared" si="2"/>
        <v>0</v>
      </c>
      <c r="I20" s="969">
        <f>SUM(I17:I19)</f>
        <v>0</v>
      </c>
      <c r="J20" s="969">
        <f>SUM(J17:J19)</f>
        <v>1394.9206110604837</v>
      </c>
      <c r="K20" s="969">
        <f t="shared" ref="K20:L20" si="3">SUM(K17:K19)</f>
        <v>0</v>
      </c>
      <c r="L20" s="969">
        <f t="shared" si="3"/>
        <v>0</v>
      </c>
      <c r="M20" s="969">
        <f>SUM(M17:M19)</f>
        <v>0</v>
      </c>
      <c r="N20" s="969">
        <f>SUM(N17:N19)</f>
        <v>0</v>
      </c>
      <c r="O20" s="969">
        <f>SUM(O17:O19)</f>
        <v>0</v>
      </c>
      <c r="P20" s="969">
        <f>SUM(P17:P19)</f>
        <v>4306.7265156841167</v>
      </c>
    </row>
    <row r="21" spans="1:16">
      <c r="B21" s="836"/>
    </row>
    <row r="22" spans="1:16">
      <c r="A22" s="455" t="s">
        <v>677</v>
      </c>
      <c r="B22" s="732" t="s">
        <v>675</v>
      </c>
      <c r="C22" s="732">
        <f ca="1">'EF ele_warmte'!B22</f>
        <v>0.22022720494343095</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0.185338335329887</v>
      </c>
      <c r="C17" s="492">
        <f ca="1">'EF ele_warmte'!B22</f>
        <v>0.22022720494343095</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2</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105.07827661299004</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2022-10-04T13:51:50Z</dcterms:modified>
</cp:coreProperties>
</file>