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12DEFA8-DA30-44BB-80B9-24D15C609FE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<sst xmlns="http://schemas.openxmlformats.org/spreadsheetml/2006/main" count="2410" uniqueCount="885">
  <si>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</si>
  <si>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</si>
  <si>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</si>
  <si>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</si>
  <si>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</si>
  <si>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</si>
  <si>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</si>
  <si>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</si>
  <si>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</si>
  <si>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</si>
  <si>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</si>
  <si>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</si>
  <si>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</si>
  <si>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</si>
  <si>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</si>
  <si>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</si>
  <si>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</si>
  <si>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</si>
  <si>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</si>
  <si>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</si>
  <si>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</si>
  <si>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</si>
  <si>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</si>
  <si>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</si>
  <si>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</si>
  <si>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</si>
  <si>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</si>
  <si>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</si>
  <si>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</si>
  <si>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</si>
  <si>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</si>
  <si>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</si>
  <si>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</si>
  <si>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</si>
  <si>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</si>
  <si>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</si>
  <si>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</si>
  <si>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</si>
  <si>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</si>
  <si>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</si>
  <si>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</si>
  <si>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</si>
  <si>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</si>
  <si>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</si>
  <si>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</si>
  <si>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</si>
  <si>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</si>
  <si>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</si>
  <si>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</si>
  <si>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</si>
  <si>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</si>
  <si>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</si>
  <si>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</si>
  <si>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</si>
  <si>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</si>
  <si>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</si>
  <si>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</si>
  <si>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</si>
  <si>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</si>
  <si>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</si>
  <si>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</si>
  <si>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</si>
  <si>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</si>
  <si>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</si>
  <si>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</si>
  <si>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</si>
  <si>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</si>
  <si>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</si>
  <si>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</si>
  <si>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</si>
  <si>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</si>
  <si>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</si>
  <si>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</si>
  <si>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</si>
  <si>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</si>
  <si>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</si>
  <si>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</si>
  <si>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</si>
  <si>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</si>
  <si>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</si>
  <si>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</si>
  <si>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</si>
  <si>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</si>
  <si>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</si>
  <si>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</si>
  <si>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</si>
  <si>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</si>
  <si>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</si>
  <si>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</si>
  <si>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</si>
  <si>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</si>
  <si>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</si>
  <si>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</si>
  <si>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</si>
  <si>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</si>
  <si>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</si>
  <si>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</si>
  <si>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</si>
  <si>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</si>
  <si>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</si>
  <si>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</si>
  <si>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</si>
  <si>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</si>
  <si>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</si>
  <si>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</si>
  <si>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</si>
  <si>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</si>
  <si>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</si>
  <si>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</si>
  <si>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</si>
  <si>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</si>
  <si>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</si>
  <si>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</si>
  <si>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</si>
  <si>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</si>
  <si>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</si>
  <si>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</si>
  <si>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</si>
  <si>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</si>
  <si>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</si>
  <si>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</si>
  <si>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</si>
  <si>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</si>
  <si>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</si>
  <si>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</si>
  <si>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</si>
  <si>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</si>
  <si>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</si>
  <si>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</si>
  <si>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</si>
  <si>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</si>
  <si>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</si>
  <si>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</si>
  <si>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</si>
  <si>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</si>
  <si>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</si>
  <si>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</si>
  <si>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</si>
  <si>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</si>
  <si>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</si>
  <si>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</si>
  <si>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</si>
  <si>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</si>
  <si>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</si>
  <si>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</si>
  <si>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</si>
  <si>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</si>
  <si>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</si>
  <si>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</si>
  <si>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</si>
  <si>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</si>
  <si>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</si>
  <si>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</si>
  <si>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</si>
  <si>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</si>
  <si>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</si>
  <si>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</si>
  <si>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</si>
  <si>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</si>
  <si>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</si>
  <si>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</si>
  <si>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</si>
  <si>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</si>
  <si>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</si>
  <si>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</si>
  <si>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</si>
  <si>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</si>
  <si>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</si>
  <si>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</si>
  <si>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</si>
  <si>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</si>
  <si>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</si>
  <si>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</si>
  <si>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</si>
  <si>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</si>
  <si>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</si>
  <si>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</si>
  <si>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</si>
  <si>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</si>
  <si>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</si>
  <si>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</si>
  <si>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</si>
  <si>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</si>
  <si>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</si>
  <si>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</si>
  <si>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</si>
  <si>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</si>
  <si>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</si>
  <si>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</si>
  <si>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</si>
  <si>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</si>
  <si>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</si>
  <si>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</si>
  <si>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</si>
  <si>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</si>
  <si>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</si>
  <si>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</si>
  <si>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</si>
  <si>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</si>
  <si>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</si>
  <si>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</si>
  <si>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</si>
  <si>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</si>
  <si>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</si>
  <si>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</si>
  <si>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</si>
  <si>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</si>
  <si>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</si>
  <si>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</si>
  <si>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</si>
  <si>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</si>
  <si>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</si>
  <si>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</si>
  <si>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</si>
  <si>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</si>
  <si>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</si>
  <si>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</si>
  <si>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</si>
  <si>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</si>
  <si>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</si>
  <si>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</si>
  <si>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</si>
  <si>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</si>
  <si>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</si>
  <si>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</si>
  <si>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</si>
  <si>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</si>
  <si>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</si>
  <si>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</si>
  <si>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</si>
  <si>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</si>
  <si>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</si>
  <si>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</si>
  <si>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</si>
  <si>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</si>
  <si>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</si>
  <si>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</si>
  <si>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</si>
  <si>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</si>
  <si>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</si>
  <si>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</si>
  <si>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</si>
  <si>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</si>
  <si>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</si>
  <si>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</si>
  <si>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</si>
  <si>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</si>
  <si>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</si>
  <si>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</si>
  <si>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</si>
  <si>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</si>
  <si>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</si>
  <si>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</si>
  <si>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</si>
  <si>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</si>
  <si>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</si>
  <si>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</si>
  <si>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</si>
  <si>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</si>
  <si>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</si>
  <si>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</si>
  <si>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</si>
  <si>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</si>
  <si>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</si>
  <si>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</si>
  <si>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</si>
  <si>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</si>
  <si>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</si>
  <si>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</si>
  <si>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</si>
  <si>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</si>
  <si>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</si>
  <si>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</si>
  <si>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</si>
  <si>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</si>
  <si>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</si>
  <si>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</si>
  <si>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</si>
  <si>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</si>
  <si>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</si>
  <si>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</si>
  <si>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</si>
  <si>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</si>
  <si>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</si>
  <si>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</si>
  <si>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</si>
  <si>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</si>
  <si>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</si>
  <si>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</si>
  <si>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</si>
  <si>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</si>
  <si>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</si>
  <si>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</si>
  <si>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</si>
  <si>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</si>
  <si>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</si>
  <si>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</si>
  <si>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</si>
  <si>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</si>
  <si>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</si>
  <si>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</si>
  <si>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</si>
  <si>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</si>
  <si>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</si>
  <si>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</si>
  <si>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</si>
  <si>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</si>
  <si>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</si>
  <si>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</si>
  <si>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</si>
  <si>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</si>
  <si>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</si>
  <si>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</si>
  <si>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</si>
  <si>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</si>
  <si>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</si>
  <si>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</si>
  <si>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</si>
  <si>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</si>
  <si>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</si>
  <si>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</si>
  <si>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</si>
  <si>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</si>
  <si>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</si>
  <si>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</si>
  <si>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</si>
  <si>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</si>
  <si>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</si>
  <si>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</si>
  <si>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</si>
  <si>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</si>
  <si>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</si>
  <si>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</si>
  <si>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</si>
  <si>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</si>
  <si>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</si>
  <si>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</si>
  <si>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</si>
  <si>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</si>
  <si>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</si>
  <si>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</si>
  <si>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</si>
  <si>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</si>
  <si>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</si>
  <si>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</si>
  <si>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</si>
  <si>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</si>
  <si>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</si>
  <si>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</si>
  <si>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</si>
  <si>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</si>
  <si>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</si>
  <si>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</si>
  <si>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</si>
  <si>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</si>
  <si>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</si>
  <si>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</si>
  <si>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</si>
  <si>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</si>
  <si>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</si>
  <si>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</si>
  <si>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</si>
  <si>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</si>
  <si>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</si>
  <si>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</si>
  <si>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</si>
  <si>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</si>
  <si>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</si>
  <si>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</si>
  <si>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</si>
  <si>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</si>
  <si>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</si>
  <si>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</si>
  <si>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</si>
  <si>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</si>
  <si>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</si>
  <si>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</si>
  <si>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</si>
  <si>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</si>
  <si>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</si>
  <si>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</si>
  <si>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</si>
  <si>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</si>
  <si>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</si>
  <si>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</si>
  <si>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</si>
  <si>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</si>
  <si>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</si>
  <si>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</si>
  <si>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</si>
  <si>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</si>
  <si>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</si>
  <si>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</si>
  <si>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</si>
  <si>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</si>
  <si>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</si>
  <si>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</si>
  <si>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</si>
  <si>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</si>
  <si>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</si>
  <si>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</si>
  <si>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</si>
  <si>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</si>
  <si>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</si>
  <si>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</si>
  <si>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</si>
  <si>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</si>
  <si>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</si>
  <si>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</si>
  <si>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</si>
  <si>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</si>
  <si>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</si>
  <si>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</si>
  <si>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</si>
  <si>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</si>
  <si>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</si>
  <si>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</si>
  <si>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</si>
  <si>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</si>
  <si>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</si>
  <si>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</si>
  <si>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</si>
  <si>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</si>
  <si>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</si>
  <si>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</si>
  <si>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</si>
  <si>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</si>
  <si>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</si>
  <si>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</si>
  <si>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</si>
  <si>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</si>
  <si>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</si>
  <si>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</si>
  <si>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</si>
  <si>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</si>
  <si>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</si>
  <si>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</si>
  <si>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</si>
  <si>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</si>
  <si>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</si>
  <si>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</si>
  <si>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</si>
  <si>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</si>
  <si>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</si>
  <si>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</si>
  <si>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</si>
  <si>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</si>
  <si>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</si>
  <si>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</si>
  <si>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</si>
  <si>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</si>
  <si>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</si>
  <si>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</si>
  <si>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</si>
  <si>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</si>
  <si>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</si>
  <si>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</si>
  <si>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</si>
  <si>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</si>
  <si>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</si>
  <si>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</si>
  <si>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</si>
  <si>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</si>
  <si>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</si>
  <si>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</si>
  <si>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</si>
  <si>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</si>
  <si>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</si>
  <si>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</si>
  <si>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</si>
  <si>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</si>
  <si>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</si>
  <si>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</si>
  <si>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</si>
  <si>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</si>
  <si>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</si>
  <si>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</si>
  <si>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</si>
  <si>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</si>
  <si>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</si>
  <si>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</si>
  <si>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</si>
  <si>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</si>
  <si>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</si>
  <si>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</si>
  <si>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</si>
  <si>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</si>
  <si>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</si>
  <si>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</si>
  <si>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</si>
  <si>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</si>
  <si>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</si>
  <si>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</si>
  <si>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</si>
  <si>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</si>
  <si>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</si>
  <si>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</si>
  <si>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</si>
  <si>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</si>
  <si>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</si>
  <si>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</si>
  <si>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</si>
  <si>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</si>
  <si>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</si>
  <si>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</si>
  <si>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</si>
  <si>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</si>
  <si>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</si>
  <si>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</si>
  <si>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</si>
  <si>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</si>
  <si>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</si>
  <si>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</si>
  <si>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</si>
  <si>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</si>
  <si>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</si>
  <si>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</si>
  <si>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</si>
  <si>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</si>
  <si>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</si>
  <si>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</si>
  <si>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</si>
  <si>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</si>
  <si>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</si>
  <si>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</si>
  <si>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</si>
  <si>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</si>
  <si>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</si>
  <si>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</si>
  <si>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</si>
  <si>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</si>
  <si>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</si>
  <si>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</si>
  <si>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</si>
  <si>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</si>
  <si>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</si>
  <si>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</si>
  <si>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</si>
  <si>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</si>
  <si>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</si>
  <si>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</si>
  <si>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</si>
  <si>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</si>
  <si>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</si>
  <si>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</si>
  <si>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</si>
  <si>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</si>
  <si>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</si>
  <si>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</si>
  <si>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</si>
  <si>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</si>
  <si>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</si>
  <si>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</si>
  <si>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</si>
  <si>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</si>
  <si>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</si>
  <si>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</si>
  <si>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</si>
  <si>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</si>
  <si>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</si>
  <si>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</si>
  <si>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</si>
  <si>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</si>
  <si>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</si>
  <si>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</si>
  <si>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</si>
  <si>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</si>
  <si>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</si>
  <si>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</si>
  <si>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</si>
  <si>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</si>
  <si>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</si>
  <si>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</si>
  <si>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</si>
  <si>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</si>
  <si>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</si>
  <si>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</si>
  <si>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</si>
  <si>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</si>
  <si>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</si>
  <si>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</si>
  <si>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</si>
  <si>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</si>
  <si>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</si>
  <si>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</si>
  <si>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</si>
  <si>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</si>
  <si>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</si>
  <si>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</si>
  <si>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</si>
  <si>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</si>
  <si>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</si>
  <si>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</si>
  <si>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</si>
  <si>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</si>
  <si>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</si>
  <si>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</si>
  <si>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</si>
  <si>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</si>
  <si>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</si>
  <si>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</si>
  <si>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</si>
  <si>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</si>
  <si>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</si>
  <si>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</si>
  <si>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</si>
  <si>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</si>
  <si>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</si>
  <si>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</si>
  <si>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</si>
  <si>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</si>
  <si>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</si>
  <si>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</si>
  <si>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</si>
  <si>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</si>
  <si>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</si>
  <si>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</si>
  <si>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</si>
  <si>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</si>
  <si>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</si>
  <si>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</si>
  <si>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</si>
  <si>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</si>
  <si>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</si>
  <si>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</si>
  <si>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</si>
  <si>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</si>
  <si>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</si>
  <si>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</si>
  <si>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</si>
  <si>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</si>
  <si>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</si>
  <si>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</si>
  <si>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</si>
  <si>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</si>
  <si>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</si>
  <si>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</si>
  <si>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</si>
  <si>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</si>
  <si>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</si>
  <si>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</si>
  <si>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</si>
  <si>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</si>
  <si>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</si>
  <si>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</si>
  <si>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</si>
  <si>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</si>
  <si>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</si>
  <si>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</si>
  <si>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</si>
  <si>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</si>
  <si>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</si>
  <si>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</si>
  <si>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</si>
  <si>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</si>
  <si>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</si>
  <si>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</si>
  <si>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</si>
  <si>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</si>
  <si>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</si>
  <si>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</si>
  <si>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</si>
  <si>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</si>
  <si>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</si>
  <si>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</si>
  <si>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</si>
  <si>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</si>
  <si>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</si>
  <si>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</si>
  <si>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</si>
  <si>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</si>
  <si>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</si>
  <si>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</si>
  <si>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</si>
  <si>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</si>
  <si>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</si>
  <si>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</si>
  <si>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</si>
  <si>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</si>
  <si>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</si>
  <si>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</si>
  <si>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</si>
  <si>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</si>
  <si>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</si>
  <si>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</si>
  <si>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</si>
  <si>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</si>
  <si>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</si>
  <si>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</si>
  <si>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</si>
  <si>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</si>
  <si>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</si>
  <si>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</si>
  <si>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</si>
  <si>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</si>
  <si>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</si>
  <si>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</si>
  <si>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</si>
  <si>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</si>
  <si>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</si>
  <si>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</si>
  <si>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</si>
  <si>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</si>
  <si>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</si>
  <si>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</si>
  <si>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</si>
  <si>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</si>
  <si>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</si>
  <si>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</si>
  <si>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</si>
  <si>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</si>
  <si>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</si>
  <si>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</si>
  <si>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</si>
  <si>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</si>
  <si>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</si>
  <si>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</si>
  <si>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</si>
  <si>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</si>
  <si>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</si>
  <si>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</si>
  <si>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</si>
  <si>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</si>
  <si>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</si>
  <si>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</si>
  <si>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</si>
  <si>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</si>
  <si>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</si>
  <si>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</si>
  <si>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</si>
  <si>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</si>
  <si>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</si>
  <si>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</si>
  <si>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</si>
  <si>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</si>
  <si>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</si>
  <si>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</si>
  <si>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</si>
  <si>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</si>
  <si>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</si>
  <si>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</si>
  <si>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</si>
  <si>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</si>
  <si>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</si>
  <si>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</si>
  <si>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</si>
  <si>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</si>
  <si>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</si>
  <si>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</si>
  <si>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</si>
  <si>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</si>
  <si>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</si>
  <si>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</si>
  <si>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</si>
  <si>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</si>
  <si>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</si>
  <si>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</si>
  <si>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</si>
  <si>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</si>
  <si>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</si>
  <si>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</si>
  <si>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</si>
  <si>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</si>
  <si>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</si>
  <si>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</si>
  <si>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</si>
  <si>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</si>
  <si>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</si>
  <si>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</si>
  <si>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</si>
  <si>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</si>
  <si>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</si>
  <si>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</si>
  <si>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</si>
  <si>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</si>
  <si>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</si>
  <si>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</si>
  <si>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</si>
  <si>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</si>
  <si>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</si>
  <si>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</si>
  <si>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</si>
  <si>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</si>
  <si>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</si>
  <si>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</si>
  <si>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</si>
  <si>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</si>
  <si>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</si>
  <si>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</si>
  <si>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</si>
  <si>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</si>
  <si>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</si>
  <si>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</si>
  <si>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</si>
  <si>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</si>
  <si>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</si>
  <si>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</si>
  <si>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</si>
  <si>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</si>
  <si>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</si>
  <si>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</si>
  <si>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</si>
  <si>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</si>
  <si>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</si>
  <si>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</si>
  <si>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</si>
  <si>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</si>
  <si>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</si>
  <si>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</si>
  <si>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</si>
  <si>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</si>
  <si>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</si>
  <si>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</si>
  <si>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</si>
  <si>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</si>
  <si>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</si>
  <si>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</si>
  <si>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</si>
  <si>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</si>
  <si>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</si>
  <si>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</si>
  <si>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</si>
  <si>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</si>
  <si>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</si>
  <si>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</si>
  <si>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</si>
  <si>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</si>
  <si>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</si>
  <si>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</si>
  <si>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</si>
  <si>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</si>
  <si>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</si>
  <si>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</si>
  <si>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</si>
  <si>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</si>
  <si>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</si>
  <si>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</si>
  <si>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</si>
  <si>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</si>
  <si>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</si>
  <si>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</si>
  <si>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</si>
  <si>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</si>
  <si>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</si>
  <si>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</si>
  <si>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</si>
  <si>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</si>
  <si>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</si>
  <si>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</si>
  <si>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</si>
  <si>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</si>
  <si>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</si>
  <si>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</si>
  <si>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</si>
  <si>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</si>
  <si>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</si>
  <si>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</si>
  <si>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</si>
  <si>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</si>
  <si>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</si>
  <si>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</si>
  <si>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</si>
  <si>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</si>
  <si>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</si>
  <si>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</si>
  <si>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</si>
  <si>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</si>
  <si>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</si>
  <si>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</si>
  <si>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</si>
  <si>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</si>
  <si>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</si>
  <si>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</si>
  <si>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</si>
  <si>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</si>
  <si>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</si>
  <si>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</si>
  <si>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</si>
  <si>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</si>
  <si>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</si>
  <si>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11040</t>
  </si>
  <si>
    <t>SCHOTEN</t>
  </si>
  <si>
    <t>vloeibaar gas (MWh)</t>
  </si>
  <si>
    <t>brandstofcel</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</si>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</sst>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1D1EC9A7-1A50-471E-BEC8-F4027177AA9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294546.5690409941</c:v>
                </c:pt>
                <c:pt idx="1">
                  <c:v>111959.97834594001</c:v>
                </c:pt>
                <c:pt idx="2">
                  <c:v>1487.9639999999999</c:v>
                </c:pt>
                <c:pt idx="3">
                  <c:v>1897.4856866260661</c:v>
                </c:pt>
                <c:pt idx="4">
                  <c:v>151881.17882294883</c:v>
                </c:pt>
                <c:pt idx="5">
                  <c:v>343157.8979931263</c:v>
                </c:pt>
                <c:pt idx="6">
                  <c:v>3683.5444772910769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294546.5690409941</c:v>
                </c:pt>
                <c:pt idx="1">
                  <c:v>111959.97834594001</c:v>
                </c:pt>
                <c:pt idx="2">
                  <c:v>1487.9639999999999</c:v>
                </c:pt>
                <c:pt idx="3">
                  <c:v>1897.4856866260661</c:v>
                </c:pt>
                <c:pt idx="4">
                  <c:v>151881.17882294883</c:v>
                </c:pt>
                <c:pt idx="5">
                  <c:v>343157.8979931263</c:v>
                </c:pt>
                <c:pt idx="6">
                  <c:v>3683.5444772910769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59454.872779814548</c:v>
                </c:pt>
                <c:pt idx="1">
                  <c:v>23394.767133561309</c:v>
                </c:pt>
                <c:pt idx="2">
                  <c:v>319.08654847684551</c:v>
                </c:pt>
                <c:pt idx="3">
                  <c:v>457.45195385236912</c:v>
                </c:pt>
                <c:pt idx="4">
                  <c:v>31270.502972237064</c:v>
                </c:pt>
                <c:pt idx="5">
                  <c:v>85509.291077283007</c:v>
                </c:pt>
                <c:pt idx="6">
                  <c:v>929.03710129560363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59454.872779814548</c:v>
                </c:pt>
                <c:pt idx="1">
                  <c:v>23394.767133561309</c:v>
                </c:pt>
                <c:pt idx="2">
                  <c:v>319.08654847684551</c:v>
                </c:pt>
                <c:pt idx="3">
                  <c:v>457.45195385236912</c:v>
                </c:pt>
                <c:pt idx="4">
                  <c:v>31270.502972237064</c:v>
                </c:pt>
                <c:pt idx="5">
                  <c:v>85509.291077283007</c:v>
                </c:pt>
                <c:pt idx="6">
                  <c:v>929.03710129560363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11040</v>
      </c>
      <c r="B6" s="382"/>
      <c r="C6" s="383"/>
    </row>
    <row r="7" spans="1:7" s="380" customFormat="1" ht="15.75" customHeight="1">
      <c r="A7" s="384" t="str">
        <f>txtMunicipality</f>
        <v>SCHOTEN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0.21444507291631082</v>
      </c>
      <c r="C17" s="492">
        <f ca="1">'EF ele_warmte'!B22</f>
        <v>0.22444444444444442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0.21444507291631082</v>
      </c>
      <c r="C29" s="493">
        <f ca="1">'EF ele_warmte'!B22</f>
        <v>0.22444444444444442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14457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171.01</v>
      </c>
      <c r="C14" s="324"/>
      <c r="D14" s="324"/>
      <c r="E14" s="324"/>
      <c r="F14" s="324"/>
    </row>
    <row r="15" spans="1:6">
      <c r="A15" s="1257" t="s">
        <v>177</v>
      </c>
      <c r="B15" s="1258">
        <v>2</v>
      </c>
      <c r="C15" s="324"/>
      <c r="D15" s="324"/>
      <c r="E15" s="324"/>
      <c r="F15" s="324"/>
    </row>
    <row r="16" spans="1:6">
      <c r="A16" s="1257" t="s">
        <v>6</v>
      </c>
      <c r="B16" s="1258">
        <v>0</v>
      </c>
      <c r="C16" s="324"/>
      <c r="D16" s="324"/>
      <c r="E16" s="324"/>
      <c r="F16" s="324"/>
    </row>
    <row r="17" spans="1:6">
      <c r="A17" s="1257" t="s">
        <v>7</v>
      </c>
      <c r="B17" s="1258">
        <v>42</v>
      </c>
      <c r="C17" s="324"/>
      <c r="D17" s="324"/>
      <c r="E17" s="324"/>
      <c r="F17" s="324"/>
    </row>
    <row r="18" spans="1:6">
      <c r="A18" s="1257" t="s">
        <v>8</v>
      </c>
      <c r="B18" s="1258">
        <v>25</v>
      </c>
      <c r="C18" s="324"/>
      <c r="D18" s="324"/>
      <c r="E18" s="324"/>
      <c r="F18" s="324"/>
    </row>
    <row r="19" spans="1:6">
      <c r="A19" s="1257" t="s">
        <v>9</v>
      </c>
      <c r="B19" s="1258">
        <v>31</v>
      </c>
      <c r="C19" s="324"/>
      <c r="D19" s="324"/>
      <c r="E19" s="324"/>
      <c r="F19" s="324"/>
    </row>
    <row r="20" spans="1:6">
      <c r="A20" s="1257" t="s">
        <v>10</v>
      </c>
      <c r="B20" s="1258">
        <v>27</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27</v>
      </c>
      <c r="C29" s="324"/>
      <c r="D29" s="324"/>
      <c r="E29" s="324"/>
      <c r="F29" s="324"/>
    </row>
    <row r="30" spans="1:6">
      <c r="A30" s="1252" t="s">
        <v>665</v>
      </c>
      <c r="B30" s="1260">
        <v>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3</v>
      </c>
      <c r="D38" s="1258">
        <v>867508.75199999998</v>
      </c>
      <c r="E38" s="1258">
        <v>5</v>
      </c>
      <c r="F38" s="1258">
        <v>1385820.639</v>
      </c>
    </row>
    <row r="39" spans="1:6">
      <c r="A39" s="1257" t="s">
        <v>29</v>
      </c>
      <c r="B39" s="1257" t="s">
        <v>30</v>
      </c>
      <c r="C39" s="1258">
        <v>11741</v>
      </c>
      <c r="D39" s="1258">
        <v>192733646.19999999</v>
      </c>
      <c r="E39" s="1258">
        <v>14354</v>
      </c>
      <c r="F39" s="1258">
        <v>53275685.229999997</v>
      </c>
    </row>
    <row r="40" spans="1:6">
      <c r="A40" s="1257" t="s">
        <v>29</v>
      </c>
      <c r="B40" s="1257" t="s">
        <v>28</v>
      </c>
      <c r="C40" s="1258">
        <v>0</v>
      </c>
      <c r="D40" s="1258">
        <v>0</v>
      </c>
      <c r="E40" s="1258">
        <v>0</v>
      </c>
      <c r="F40" s="1258">
        <v>0</v>
      </c>
    </row>
    <row r="41" spans="1:6">
      <c r="A41" s="1257" t="s">
        <v>31</v>
      </c>
      <c r="B41" s="1257" t="s">
        <v>32</v>
      </c>
      <c r="C41" s="1258">
        <v>152</v>
      </c>
      <c r="D41" s="1258">
        <v>6257486.6799999997</v>
      </c>
      <c r="E41" s="1258">
        <v>265</v>
      </c>
      <c r="F41" s="1258">
        <v>5543459.5449999999</v>
      </c>
    </row>
    <row r="42" spans="1:6">
      <c r="A42" s="1257" t="s">
        <v>31</v>
      </c>
      <c r="B42" s="1257" t="s">
        <v>33</v>
      </c>
      <c r="C42" s="1258">
        <v>3</v>
      </c>
      <c r="D42" s="1258">
        <v>733136.66599999997</v>
      </c>
      <c r="E42" s="1258">
        <v>0</v>
      </c>
      <c r="F42" s="1258">
        <v>0</v>
      </c>
    </row>
    <row r="43" spans="1:6">
      <c r="A43" s="1257" t="s">
        <v>31</v>
      </c>
      <c r="B43" s="1257" t="s">
        <v>34</v>
      </c>
      <c r="C43" s="1258">
        <v>0</v>
      </c>
      <c r="D43" s="1258">
        <v>0</v>
      </c>
      <c r="E43" s="1258">
        <v>0</v>
      </c>
      <c r="F43" s="1258">
        <v>0</v>
      </c>
    </row>
    <row r="44" spans="1:6">
      <c r="A44" s="1257" t="s">
        <v>31</v>
      </c>
      <c r="B44" s="1257" t="s">
        <v>35</v>
      </c>
      <c r="C44" s="1258">
        <v>7</v>
      </c>
      <c r="D44" s="1258">
        <v>339761.179</v>
      </c>
      <c r="E44" s="1258">
        <v>22</v>
      </c>
      <c r="F44" s="1258">
        <v>517453.62900000002</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9</v>
      </c>
      <c r="D47" s="1258">
        <v>258622.68</v>
      </c>
      <c r="E47" s="1258">
        <v>11</v>
      </c>
      <c r="F47" s="1258">
        <v>297231.011</v>
      </c>
    </row>
    <row r="48" spans="1:6">
      <c r="A48" s="1257" t="s">
        <v>31</v>
      </c>
      <c r="B48" s="1257" t="s">
        <v>28</v>
      </c>
      <c r="C48" s="1258">
        <v>36</v>
      </c>
      <c r="D48" s="1258">
        <v>54865046.909999996</v>
      </c>
      <c r="E48" s="1258">
        <v>47</v>
      </c>
      <c r="F48" s="1258">
        <v>9503651.4240000006</v>
      </c>
    </row>
    <row r="49" spans="1:6">
      <c r="A49" s="1257" t="s">
        <v>31</v>
      </c>
      <c r="B49" s="1257" t="s">
        <v>39</v>
      </c>
      <c r="C49" s="1258">
        <v>3</v>
      </c>
      <c r="D49" s="1258">
        <v>74642.657000000007</v>
      </c>
      <c r="E49" s="1258">
        <v>4</v>
      </c>
      <c r="F49" s="1258">
        <v>36744.313999999998</v>
      </c>
    </row>
    <row r="50" spans="1:6">
      <c r="A50" s="1257" t="s">
        <v>31</v>
      </c>
      <c r="B50" s="1257" t="s">
        <v>40</v>
      </c>
      <c r="C50" s="1258">
        <v>18</v>
      </c>
      <c r="D50" s="1258">
        <v>42327882.310000002</v>
      </c>
      <c r="E50" s="1258">
        <v>31</v>
      </c>
      <c r="F50" s="1258">
        <v>31438386.579999998</v>
      </c>
    </row>
    <row r="51" spans="1:6">
      <c r="A51" s="1257" t="s">
        <v>41</v>
      </c>
      <c r="B51" s="1257" t="s">
        <v>42</v>
      </c>
      <c r="C51" s="1258">
        <v>3</v>
      </c>
      <c r="D51" s="1258">
        <v>117545.18399999999</v>
      </c>
      <c r="E51" s="1258">
        <v>10</v>
      </c>
      <c r="F51" s="1258">
        <v>234895.04399999999</v>
      </c>
    </row>
    <row r="52" spans="1:6">
      <c r="A52" s="1257" t="s">
        <v>41</v>
      </c>
      <c r="B52" s="1257" t="s">
        <v>28</v>
      </c>
      <c r="C52" s="1258">
        <v>4</v>
      </c>
      <c r="D52" s="1258">
        <v>591182.10800000001</v>
      </c>
      <c r="E52" s="1258">
        <v>3</v>
      </c>
      <c r="F52" s="1258">
        <v>23884.993999999999</v>
      </c>
    </row>
    <row r="53" spans="1:6">
      <c r="A53" s="1257" t="s">
        <v>43</v>
      </c>
      <c r="B53" s="1257" t="s">
        <v>44</v>
      </c>
      <c r="C53" s="1258">
        <v>256</v>
      </c>
      <c r="D53" s="1258">
        <v>20657095.390000001</v>
      </c>
      <c r="E53" s="1258">
        <v>540</v>
      </c>
      <c r="F53" s="1258">
        <v>2244676.2880000002</v>
      </c>
    </row>
    <row r="54" spans="1:6">
      <c r="A54" s="1257" t="s">
        <v>45</v>
      </c>
      <c r="B54" s="1257" t="s">
        <v>46</v>
      </c>
      <c r="C54" s="1258">
        <v>0</v>
      </c>
      <c r="D54" s="1258">
        <v>0</v>
      </c>
      <c r="E54" s="1258">
        <v>1</v>
      </c>
      <c r="F54" s="1258">
        <v>1487964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73</v>
      </c>
      <c r="D57" s="1258">
        <v>3345521.2659999998</v>
      </c>
      <c r="E57" s="1258">
        <v>115</v>
      </c>
      <c r="F57" s="1258">
        <v>1336550.389</v>
      </c>
    </row>
    <row r="58" spans="1:6">
      <c r="A58" s="1257" t="s">
        <v>48</v>
      </c>
      <c r="B58" s="1257" t="s">
        <v>50</v>
      </c>
      <c r="C58" s="1258">
        <v>77</v>
      </c>
      <c r="D58" s="1258">
        <v>3626218.0389999999</v>
      </c>
      <c r="E58" s="1258">
        <v>113</v>
      </c>
      <c r="F58" s="1258">
        <v>1407747.358</v>
      </c>
    </row>
    <row r="59" spans="1:6">
      <c r="A59" s="1257" t="s">
        <v>48</v>
      </c>
      <c r="B59" s="1257" t="s">
        <v>51</v>
      </c>
      <c r="C59" s="1258">
        <v>249</v>
      </c>
      <c r="D59" s="1258">
        <v>16386634.25</v>
      </c>
      <c r="E59" s="1258">
        <v>426</v>
      </c>
      <c r="F59" s="1258">
        <v>22544678.559999999</v>
      </c>
    </row>
    <row r="60" spans="1:6">
      <c r="A60" s="1257" t="s">
        <v>48</v>
      </c>
      <c r="B60" s="1257" t="s">
        <v>52</v>
      </c>
      <c r="C60" s="1258">
        <v>107</v>
      </c>
      <c r="D60" s="1258">
        <v>5252299.6919999998</v>
      </c>
      <c r="E60" s="1258">
        <v>132</v>
      </c>
      <c r="F60" s="1258">
        <v>3323806.969</v>
      </c>
    </row>
    <row r="61" spans="1:6">
      <c r="A61" s="1257" t="s">
        <v>48</v>
      </c>
      <c r="B61" s="1257" t="s">
        <v>53</v>
      </c>
      <c r="C61" s="1258">
        <v>477</v>
      </c>
      <c r="D61" s="1258">
        <v>27135011.579999998</v>
      </c>
      <c r="E61" s="1258">
        <v>936</v>
      </c>
      <c r="F61" s="1258">
        <v>13406442.560000001</v>
      </c>
    </row>
    <row r="62" spans="1:6">
      <c r="A62" s="1257" t="s">
        <v>48</v>
      </c>
      <c r="B62" s="1257" t="s">
        <v>54</v>
      </c>
      <c r="C62" s="1258">
        <v>24</v>
      </c>
      <c r="D62" s="1258">
        <v>4229740.9359999998</v>
      </c>
      <c r="E62" s="1258">
        <v>30</v>
      </c>
      <c r="F62" s="1258">
        <v>746131.94900000002</v>
      </c>
    </row>
    <row r="63" spans="1:6">
      <c r="A63" s="1257" t="s">
        <v>48</v>
      </c>
      <c r="B63" s="1257" t="s">
        <v>28</v>
      </c>
      <c r="C63" s="1258">
        <v>119</v>
      </c>
      <c r="D63" s="1258">
        <v>5922438.3540000003</v>
      </c>
      <c r="E63" s="1258">
        <v>100</v>
      </c>
      <c r="F63" s="1258">
        <v>3090089.7910000002</v>
      </c>
    </row>
    <row r="64" spans="1:6">
      <c r="A64" s="1257" t="s">
        <v>55</v>
      </c>
      <c r="B64" s="1257" t="s">
        <v>56</v>
      </c>
      <c r="C64" s="1258">
        <v>0</v>
      </c>
      <c r="D64" s="1258">
        <v>0</v>
      </c>
      <c r="E64" s="1258">
        <v>0</v>
      </c>
      <c r="F64" s="1258">
        <v>0</v>
      </c>
    </row>
    <row r="65" spans="1:6">
      <c r="A65" s="1257" t="s">
        <v>55</v>
      </c>
      <c r="B65" s="1257" t="s">
        <v>28</v>
      </c>
      <c r="C65" s="1258">
        <v>4</v>
      </c>
      <c r="D65" s="1258">
        <v>186480.86199999999</v>
      </c>
      <c r="E65" s="1258">
        <v>5</v>
      </c>
      <c r="F65" s="1258">
        <v>20689.163</v>
      </c>
    </row>
    <row r="66" spans="1:6">
      <c r="A66" s="1257" t="s">
        <v>55</v>
      </c>
      <c r="B66" s="1257" t="s">
        <v>57</v>
      </c>
      <c r="C66" s="1258">
        <v>5</v>
      </c>
      <c r="D66" s="1258">
        <v>140911.552</v>
      </c>
      <c r="E66" s="1258">
        <v>30</v>
      </c>
      <c r="F66" s="1258">
        <v>480285.14299999998</v>
      </c>
    </row>
    <row r="67" spans="1:6">
      <c r="A67" s="1257" t="s">
        <v>55</v>
      </c>
      <c r="B67" s="1257" t="s">
        <v>58</v>
      </c>
      <c r="C67" s="1258">
        <v>0</v>
      </c>
      <c r="D67" s="1258">
        <v>0</v>
      </c>
      <c r="E67" s="1258">
        <v>0</v>
      </c>
      <c r="F67" s="1258">
        <v>0</v>
      </c>
    </row>
    <row r="68" spans="1:6">
      <c r="A68" s="1252" t="s">
        <v>55</v>
      </c>
      <c r="B68" s="1252" t="s">
        <v>59</v>
      </c>
      <c r="C68" s="1260">
        <v>3</v>
      </c>
      <c r="D68" s="1260">
        <v>95778.437000000005</v>
      </c>
      <c r="E68" s="1260">
        <v>6</v>
      </c>
      <c r="F68" s="1260">
        <v>27582.216</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85279636</v>
      </c>
      <c r="E73" s="442"/>
      <c r="F73" s="324"/>
    </row>
    <row r="74" spans="1:6">
      <c r="A74" s="1257" t="s">
        <v>63</v>
      </c>
      <c r="B74" s="1257" t="s">
        <v>608</v>
      </c>
      <c r="C74" s="1270" t="s">
        <v>610</v>
      </c>
      <c r="D74" s="1258">
        <v>3289726</v>
      </c>
      <c r="E74" s="442"/>
      <c r="F74" s="324"/>
    </row>
    <row r="75" spans="1:6">
      <c r="A75" s="1257" t="s">
        <v>64</v>
      </c>
      <c r="B75" s="1257" t="s">
        <v>607</v>
      </c>
      <c r="C75" s="1270" t="s">
        <v>611</v>
      </c>
      <c r="D75" s="1258">
        <v>43270414</v>
      </c>
      <c r="E75" s="442"/>
      <c r="F75" s="324"/>
    </row>
    <row r="76" spans="1:6">
      <c r="A76" s="1257" t="s">
        <v>64</v>
      </c>
      <c r="B76" s="1257" t="s">
        <v>608</v>
      </c>
      <c r="C76" s="1270" t="s">
        <v>612</v>
      </c>
      <c r="D76" s="1258">
        <v>1184672</v>
      </c>
      <c r="E76" s="442"/>
      <c r="F76" s="324"/>
    </row>
    <row r="77" spans="1:6">
      <c r="A77" s="1257" t="s">
        <v>65</v>
      </c>
      <c r="B77" s="1257" t="s">
        <v>607</v>
      </c>
      <c r="C77" s="1270" t="s">
        <v>613</v>
      </c>
      <c r="D77" s="1258">
        <v>191986634</v>
      </c>
      <c r="E77" s="442"/>
      <c r="F77" s="324"/>
    </row>
    <row r="78" spans="1:6">
      <c r="A78" s="1252" t="s">
        <v>65</v>
      </c>
      <c r="B78" s="1252" t="s">
        <v>608</v>
      </c>
      <c r="C78" s="1252" t="s">
        <v>614</v>
      </c>
      <c r="D78" s="1260">
        <v>41291926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1009366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3343.1611450004862</v>
      </c>
      <c r="C91" s="324"/>
      <c r="D91" s="324"/>
      <c r="E91" s="324"/>
      <c r="F91" s="324"/>
    </row>
    <row r="92" spans="1:6">
      <c r="A92" s="1252" t="s">
        <v>68</v>
      </c>
      <c r="B92" s="1253">
        <v>1231.1259345588303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8882</v>
      </c>
      <c r="C97" s="324"/>
      <c r="D97" s="324"/>
      <c r="E97" s="324"/>
      <c r="F97" s="324"/>
    </row>
    <row r="98" spans="1:6">
      <c r="A98" s="1257" t="s">
        <v>71</v>
      </c>
      <c r="B98" s="1258">
        <v>10</v>
      </c>
      <c r="C98" s="324"/>
      <c r="D98" s="324"/>
      <c r="E98" s="324"/>
      <c r="F98" s="324"/>
    </row>
    <row r="99" spans="1:6">
      <c r="A99" s="1257" t="s">
        <v>72</v>
      </c>
      <c r="B99" s="1258">
        <v>48</v>
      </c>
      <c r="C99" s="324"/>
      <c r="D99" s="324"/>
      <c r="E99" s="324"/>
      <c r="F99" s="324"/>
    </row>
    <row r="100" spans="1:6">
      <c r="A100" s="1257" t="s">
        <v>73</v>
      </c>
      <c r="B100" s="1258">
        <v>1173</v>
      </c>
      <c r="C100" s="324"/>
      <c r="D100" s="324"/>
      <c r="E100" s="324"/>
      <c r="F100" s="324"/>
    </row>
    <row r="101" spans="1:6">
      <c r="A101" s="1257" t="s">
        <v>74</v>
      </c>
      <c r="B101" s="1258">
        <v>81</v>
      </c>
      <c r="C101" s="324"/>
      <c r="D101" s="324"/>
      <c r="E101" s="324"/>
      <c r="F101" s="324"/>
    </row>
    <row r="102" spans="1:6">
      <c r="A102" s="1257" t="s">
        <v>75</v>
      </c>
      <c r="B102" s="1258">
        <v>212</v>
      </c>
      <c r="C102" s="324"/>
      <c r="D102" s="324"/>
      <c r="E102" s="324"/>
      <c r="F102" s="324"/>
    </row>
    <row r="103" spans="1:6">
      <c r="A103" s="1257" t="s">
        <v>76</v>
      </c>
      <c r="B103" s="1258">
        <v>170</v>
      </c>
      <c r="C103" s="324"/>
      <c r="D103" s="324"/>
      <c r="E103" s="324"/>
      <c r="F103" s="324"/>
    </row>
    <row r="104" spans="1:6">
      <c r="A104" s="1257" t="s">
        <v>77</v>
      </c>
      <c r="B104" s="1258">
        <v>2394</v>
      </c>
      <c r="C104" s="324"/>
      <c r="D104" s="324"/>
      <c r="E104" s="324"/>
      <c r="F104" s="324"/>
    </row>
    <row r="105" spans="1:6">
      <c r="A105" s="1252" t="s">
        <v>78</v>
      </c>
      <c r="B105" s="1260">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3</v>
      </c>
      <c r="C110" s="324"/>
      <c r="D110" s="324"/>
      <c r="E110" s="324"/>
      <c r="F110" s="324"/>
    </row>
    <row r="111" spans="1:6">
      <c r="A111" s="1275" t="s">
        <v>599</v>
      </c>
      <c r="B111" s="1276">
        <v>1</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45</v>
      </c>
      <c r="C123" s="1258">
        <v>32</v>
      </c>
      <c r="D123" s="324"/>
      <c r="E123" s="324"/>
      <c r="F123" s="324"/>
    </row>
    <row r="124" spans="1:6">
      <c r="A124" s="1257" t="s">
        <v>88</v>
      </c>
      <c r="B124" s="1258">
        <v>1</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153</v>
      </c>
      <c r="C129" s="324"/>
      <c r="D129" s="324"/>
      <c r="E129" s="324"/>
      <c r="F129" s="324"/>
    </row>
    <row r="130" spans="1:6">
      <c r="A130" s="1257" t="s">
        <v>283</v>
      </c>
      <c r="B130" s="1258">
        <v>1</v>
      </c>
      <c r="C130" s="324"/>
      <c r="D130" s="324"/>
      <c r="E130" s="324"/>
      <c r="F130" s="324"/>
    </row>
    <row r="131" spans="1:6">
      <c r="A131" s="1257" t="s">
        <v>284</v>
      </c>
      <c r="B131" s="1258">
        <v>0</v>
      </c>
      <c r="C131" s="324"/>
      <c r="D131" s="324"/>
      <c r="E131" s="324"/>
      <c r="F131" s="324"/>
    </row>
    <row r="132" spans="1:6">
      <c r="A132" s="1252" t="s">
        <v>285</v>
      </c>
      <c r="B132" s="1253">
        <v>19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154213.59782054735</v>
      </c>
      <c r="C3" s="43" t="s">
        <v>163</v>
      </c>
      <c r="D3" s="43"/>
      <c r="E3" s="153"/>
      <c r="F3" s="43"/>
      <c r="G3" s="43"/>
      <c r="H3" s="43"/>
      <c r="I3" s="43"/>
      <c r="J3" s="43"/>
      <c r="K3" s="96"/>
    </row>
    <row r="4" spans="1:11">
      <c r="A4" s="350" t="s">
        <v>164</v>
      </c>
      <c r="B4" s="49">
        <f>IF(ISERROR('SEAP template'!B78+'SEAP template'!C78),0,'SEAP template'!B78+'SEAP template'!C78)</f>
        <v>4591.2870795593162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3.8155555555555551</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0.21444507291631082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5.4655255255255248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24.351351351351351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1487.9639999999999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1487.9639999999999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0.21444507291631082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319.08654847684551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53275.685229999995</v>
      </c>
      <c r="C5" s="17">
        <f>IF(ISERROR('Eigen informatie GS &amp; warmtenet'!B59),0,'Eigen informatie GS &amp; warmtenet'!B59)</f>
        <v>0</v>
      </c>
      <c r="D5" s="30">
        <f>(SUM(HH_hh_gas_kWh,HH_rest_gas_kWh)/1000)*0.902</f>
        <v>173845.7488724</v>
      </c>
      <c r="E5" s="17">
        <f>B32*B41</f>
        <v>2258.5556636395504</v>
      </c>
      <c r="F5" s="17">
        <f>B36*B45</f>
        <v>43464.318524402341</v>
      </c>
      <c r="G5" s="18"/>
      <c r="H5" s="17"/>
      <c r="I5" s="17"/>
      <c r="J5" s="17">
        <f>B35*B44+C35*C44</f>
        <v>222.41154407842481</v>
      </c>
      <c r="K5" s="17"/>
      <c r="L5" s="17"/>
      <c r="M5" s="17"/>
      <c r="N5" s="17">
        <f>B34*B43+C34*C43</f>
        <v>17080.980519448334</v>
      </c>
      <c r="O5" s="17">
        <f>B52*B53*B54</f>
        <v>371.00018702537494</v>
      </c>
      <c r="P5" s="17">
        <f>B60*B61*B62/1000-B60*B61*B62/1000/B63</f>
        <v>684.70735499952639</v>
      </c>
    </row>
    <row r="6" spans="1:16">
      <c r="A6" s="16" t="s">
        <v>573</v>
      </c>
      <c r="B6" s="738">
        <f>kWh_PV_kleiner_dan_10kW</f>
        <v>3343.1611450004862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56618.846375000481</v>
      </c>
      <c r="C8" s="21">
        <f>C5</f>
        <v>0</v>
      </c>
      <c r="D8" s="21">
        <f>D5</f>
        <v>173845.7488724</v>
      </c>
      <c r="E8" s="21">
        <f>E5</f>
        <v>2258.5556636395504</v>
      </c>
      <c r="F8" s="21">
        <f>F5</f>
        <v>43464.318524402341</v>
      </c>
      <c r="G8" s="21"/>
      <c r="H8" s="21"/>
      <c r="I8" s="21"/>
      <c r="J8" s="21">
        <f>J5</f>
        <v>222.41154407842481</v>
      </c>
      <c r="K8" s="21"/>
      <c r="L8" s="21">
        <f>L5</f>
        <v>0</v>
      </c>
      <c r="M8" s="21">
        <f>M5</f>
        <v>0</v>
      </c>
      <c r="N8" s="21">
        <f>N5</f>
        <v>17080.980519448334</v>
      </c>
      <c r="O8" s="21">
        <f>O5</f>
        <v>371.00018702537494</v>
      </c>
      <c r="P8" s="21">
        <f>P5</f>
        <v>684.70735499952639</v>
      </c>
    </row>
    <row r="9" spans="1:16">
      <c r="B9" s="19"/>
      <c r="C9" s="19"/>
      <c r="D9" s="255"/>
      <c r="E9" s="19"/>
      <c r="F9" s="19"/>
      <c r="G9" s="19"/>
      <c r="H9" s="19"/>
      <c r="I9" s="19"/>
      <c r="J9" s="19"/>
      <c r="K9" s="19"/>
      <c r="L9" s="19"/>
      <c r="M9" s="19"/>
      <c r="N9" s="19"/>
      <c r="O9" s="19"/>
      <c r="P9" s="19"/>
    </row>
    <row r="10" spans="1:16">
      <c r="A10" s="24" t="s">
        <v>207</v>
      </c>
      <c r="B10" s="25">
        <f ca="1">'EF ele_warmte'!B12</f>
        <v>0.21444507291631082</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12141.632639324378</v>
      </c>
      <c r="C12" s="23">
        <f ca="1">C10*C8</f>
        <v>0</v>
      </c>
      <c r="D12" s="23">
        <f>D8*D10</f>
        <v>35116.841272224803</v>
      </c>
      <c r="E12" s="23">
        <f>E10*E8</f>
        <v>512.69213564617792</v>
      </c>
      <c r="F12" s="23">
        <f>F10*F8</f>
        <v>11604.973046015426</v>
      </c>
      <c r="G12" s="23"/>
      <c r="H12" s="23"/>
      <c r="I12" s="23"/>
      <c r="J12" s="23">
        <f>J10*J8</f>
        <v>78.733686603762379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14457</v>
      </c>
      <c r="C26" s="36"/>
      <c r="D26" s="225"/>
    </row>
    <row r="27" spans="1:7" s="15" customFormat="1">
      <c r="A27" s="227" t="s">
        <v>774</v>
      </c>
      <c r="B27" s="37">
        <f>SUM(HH_hh_gas_aantal,HH_rest_gas_aantal)</f>
        <v>11741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11153.95</v>
      </c>
      <c r="C31" s="165" t="s">
        <v>104</v>
      </c>
      <c r="D31" s="230"/>
      <c r="G31" s="15"/>
    </row>
    <row r="32" spans="1:7">
      <c r="A32" s="168" t="s">
        <v>72</v>
      </c>
      <c r="B32" s="165">
        <f>IF((B21*($B$26-($B$27-0.05*$B$27)-$B$60))&lt;0,0,B21*($B$26-($B$27-0.05*$B$27)-$B$60))</f>
        <v>36.503079473569485</v>
      </c>
      <c r="C32" s="165" t="s">
        <v>104</v>
      </c>
      <c r="D32" s="230"/>
      <c r="G32" s="15"/>
    </row>
    <row r="33" spans="1:7">
      <c r="A33" s="168" t="s">
        <v>73</v>
      </c>
      <c r="B33" s="165">
        <f>IF((B22*($B$26-($B$27-0.05*$B$27)-$B$60))&lt;0,0,B22*($B$26-($B$27-0.05*$B$27)-$B$60))</f>
        <v>758.92967642040128</v>
      </c>
      <c r="C33" s="165" t="s">
        <v>104</v>
      </c>
      <c r="D33" s="230"/>
      <c r="G33" s="15"/>
    </row>
    <row r="34" spans="1:7">
      <c r="A34" s="168" t="s">
        <v>74</v>
      </c>
      <c r="B34" s="165">
        <f>IF((B24*($B$26-($B$27-0.05*$B$27)-$B$60))&lt;0,0,B24*($B$26-($B$27-0.05*$B$27)-$B$60))</f>
        <v>320.45358672974862</v>
      </c>
      <c r="C34" s="165">
        <f>B26*C24</f>
        <v>2494.7354528864321</v>
      </c>
      <c r="D34" s="230"/>
      <c r="G34" s="15"/>
    </row>
    <row r="35" spans="1:7">
      <c r="A35" s="168" t="s">
        <v>76</v>
      </c>
      <c r="B35" s="165">
        <f>IF((B19*($B$26-($B$27-0.05*$B$27)-$B$60))&lt;0,0,B19*($B$26-($B$27-0.05*$B$27)-$B$60))</f>
        <v>27.628895009702152</v>
      </c>
      <c r="C35" s="165">
        <f>B35/2</f>
        <v>13.814447504851076</v>
      </c>
      <c r="D35" s="231"/>
      <c r="G35" s="15"/>
    </row>
    <row r="36" spans="1:7">
      <c r="A36" s="168" t="s">
        <v>77</v>
      </c>
      <c r="B36" s="165">
        <f>IF((B18*($B$26-($B$27-0.05*$B$27)-$B$60))&lt;0,0,B18*($B$26-($B$27-0.05*$B$27)-$B$60))</f>
        <v>2094.5347623665775</v>
      </c>
      <c r="C36" s="165" t="s">
        <v>104</v>
      </c>
      <c r="D36" s="231"/>
      <c r="G36" s="15"/>
    </row>
    <row r="37" spans="1:7">
      <c r="A37" s="168" t="s">
        <v>78</v>
      </c>
      <c r="B37" s="165">
        <f>B60</f>
        <v>65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187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45855.447575999999</v>
      </c>
      <c r="C5" s="17">
        <f>IF(ISERROR('Eigen informatie GS &amp; warmtenet'!B60),0,'Eigen informatie GS &amp; warmtenet'!B60)</f>
        <v>0</v>
      </c>
      <c r="D5" s="30">
        <f>SUM(D6:D12)</f>
        <v>59439.87343353399</v>
      </c>
      <c r="E5" s="17">
        <f>SUM(E6:E12)</f>
        <v>107.61135571617154</v>
      </c>
      <c r="F5" s="17">
        <f>SUM(F6:F12)</f>
        <v>5730.9859025938367</v>
      </c>
      <c r="G5" s="18"/>
      <c r="H5" s="17"/>
      <c r="I5" s="17"/>
      <c r="J5" s="17">
        <f>SUM(J6:J12)</f>
        <v>1.942519181791369E-2</v>
      </c>
      <c r="K5" s="17"/>
      <c r="L5" s="17"/>
      <c r="M5" s="17"/>
      <c r="N5" s="17">
        <f>SUM(N6:N12)</f>
        <v>773.19884842645979</v>
      </c>
      <c r="O5" s="17">
        <f>B38*B39*B40</f>
        <v>4.8972607658411542</v>
      </c>
      <c r="P5" s="17">
        <f>B46*B47*B48/1000-B46*B47*B48/1000/B49</f>
        <v>52.539138306495019</v>
      </c>
      <c r="R5" s="32"/>
    </row>
    <row r="6" spans="1:18">
      <c r="A6" s="32" t="s">
        <v>53</v>
      </c>
      <c r="B6" s="37">
        <f>B26</f>
        <v>13406.442560000001</v>
      </c>
      <c r="C6" s="33"/>
      <c r="D6" s="37">
        <f>IF(ISERROR(TER_kantoor_gas_kWh/1000),0,TER_kantoor_gas_kWh/1000)*0.902</f>
        <v>24475.780445159999</v>
      </c>
      <c r="E6" s="33">
        <f>$C$26*'E Balans VL '!I12/100/3.6*1000000</f>
        <v>3.500806565458066</v>
      </c>
      <c r="F6" s="33">
        <f>$C$26*('E Balans VL '!L12+'E Balans VL '!N12)/100/3.6*1000000</f>
        <v>1339.5207829904177</v>
      </c>
      <c r="G6" s="34"/>
      <c r="H6" s="33"/>
      <c r="I6" s="33"/>
      <c r="J6" s="33">
        <f>$C$26*('E Balans VL '!D12+'E Balans VL '!E12)/100/3.6*1000000</f>
        <v>0</v>
      </c>
      <c r="K6" s="33"/>
      <c r="L6" s="33"/>
      <c r="M6" s="33"/>
      <c r="N6" s="33">
        <f>$C$26*'E Balans VL '!Y12/100/3.6*1000000</f>
        <v>9.5050978540062321</v>
      </c>
      <c r="O6" s="33"/>
      <c r="P6" s="33"/>
      <c r="R6" s="32"/>
    </row>
    <row r="7" spans="1:18">
      <c r="A7" s="32" t="s">
        <v>52</v>
      </c>
      <c r="B7" s="37">
        <f t="shared" ref="B7:B12" si="0">B27</f>
        <v>3323.8069690000002</v>
      </c>
      <c r="C7" s="33"/>
      <c r="D7" s="37">
        <f>IF(ISERROR(TER_horeca_gas_kWh/1000),0,TER_horeca_gas_kWh/1000)*0.902</f>
        <v>4737.5743221839994</v>
      </c>
      <c r="E7" s="33">
        <f>$C$27*'E Balans VL '!I9/100/3.6*1000000</f>
        <v>0</v>
      </c>
      <c r="F7" s="33">
        <f>$C$27*('E Balans VL '!L9+'E Balans VL '!N9)/100/3.6*1000000</f>
        <v>272.9725399008164</v>
      </c>
      <c r="G7" s="34"/>
      <c r="H7" s="33"/>
      <c r="I7" s="33"/>
      <c r="J7" s="33">
        <f>$C$27*('E Balans VL '!D9+'E Balans VL '!E9)/100/3.6*1000000</f>
        <v>0</v>
      </c>
      <c r="K7" s="33"/>
      <c r="L7" s="33"/>
      <c r="M7" s="33"/>
      <c r="N7" s="33">
        <f>$C$27*'E Balans VL '!Y9/100/3.6*1000000</f>
        <v>42.003189270428614</v>
      </c>
      <c r="O7" s="33"/>
      <c r="P7" s="33"/>
      <c r="R7" s="32"/>
    </row>
    <row r="8" spans="1:18">
      <c r="A8" s="6" t="s">
        <v>51</v>
      </c>
      <c r="B8" s="37">
        <f t="shared" si="0"/>
        <v>22544.67856</v>
      </c>
      <c r="C8" s="33"/>
      <c r="D8" s="37">
        <f>IF(ISERROR(TER_handel_gas_kWh/1000),0,TER_handel_gas_kWh/1000)*0.902</f>
        <v>14780.7440935</v>
      </c>
      <c r="E8" s="33">
        <f>$C$28*'E Balans VL '!I13/100/3.6*1000000</f>
        <v>82.857609647581413</v>
      </c>
      <c r="F8" s="33">
        <f>$C$28*('E Balans VL '!L13+'E Balans VL '!N13)/100/3.6*1000000</f>
        <v>2153.3966912392511</v>
      </c>
      <c r="G8" s="34"/>
      <c r="H8" s="33"/>
      <c r="I8" s="33"/>
      <c r="J8" s="33">
        <f>$C$28*('E Balans VL '!D13+'E Balans VL '!E13)/100/3.6*1000000</f>
        <v>0</v>
      </c>
      <c r="K8" s="33"/>
      <c r="L8" s="33"/>
      <c r="M8" s="33"/>
      <c r="N8" s="33">
        <f>$C$28*'E Balans VL '!Y13/100/3.6*1000000</f>
        <v>8.9203995621760903</v>
      </c>
      <c r="O8" s="33"/>
      <c r="P8" s="33"/>
      <c r="R8" s="32"/>
    </row>
    <row r="9" spans="1:18">
      <c r="A9" s="32" t="s">
        <v>50</v>
      </c>
      <c r="B9" s="37">
        <f t="shared" si="0"/>
        <v>1407.7473580000001</v>
      </c>
      <c r="C9" s="33"/>
      <c r="D9" s="37">
        <f>IF(ISERROR(TER_gezond_gas_kWh/1000),0,TER_gezond_gas_kWh/1000)*0.902</f>
        <v>3270.8486711780001</v>
      </c>
      <c r="E9" s="33">
        <f>$C$29*'E Balans VL '!I10/100/3.6*1000000</f>
        <v>0</v>
      </c>
      <c r="F9" s="33">
        <f>$C$29*('E Balans VL '!L10+'E Balans VL '!N10)/100/3.6*1000000</f>
        <v>95.099889887968374</v>
      </c>
      <c r="G9" s="34"/>
      <c r="H9" s="33"/>
      <c r="I9" s="33"/>
      <c r="J9" s="33">
        <f>$C$29*('E Balans VL '!D10+'E Balans VL '!E10)/100/3.6*1000000</f>
        <v>0</v>
      </c>
      <c r="K9" s="33"/>
      <c r="L9" s="33"/>
      <c r="M9" s="33"/>
      <c r="N9" s="33">
        <f>$C$29*'E Balans VL '!Y10/100/3.6*1000000</f>
        <v>10.953324775687852</v>
      </c>
      <c r="O9" s="33"/>
      <c r="P9" s="33"/>
      <c r="R9" s="32"/>
    </row>
    <row r="10" spans="1:18">
      <c r="A10" s="32" t="s">
        <v>49</v>
      </c>
      <c r="B10" s="37">
        <f t="shared" si="0"/>
        <v>1336.550389</v>
      </c>
      <c r="C10" s="33"/>
      <c r="D10" s="37">
        <f>IF(ISERROR(TER_ander_gas_kWh/1000),0,TER_ander_gas_kWh/1000)*0.902</f>
        <v>3017.6601819319999</v>
      </c>
      <c r="E10" s="33">
        <f>$C$30*'E Balans VL '!I14/100/3.6*1000000</f>
        <v>12.119578688480418</v>
      </c>
      <c r="F10" s="33">
        <f>$C$30*('E Balans VL '!L14+'E Balans VL '!N14)/100/3.6*1000000</f>
        <v>1056.4723389617718</v>
      </c>
      <c r="G10" s="34"/>
      <c r="H10" s="33"/>
      <c r="I10" s="33"/>
      <c r="J10" s="33">
        <f>$C$30*('E Balans VL '!D14+'E Balans VL '!E14)/100/3.6*1000000</f>
        <v>1.3228538846318078E-2</v>
      </c>
      <c r="K10" s="33"/>
      <c r="L10" s="33"/>
      <c r="M10" s="33"/>
      <c r="N10" s="33">
        <f>$C$30*'E Balans VL '!Y14/100/3.6*1000000</f>
        <v>471.73415498094738</v>
      </c>
      <c r="O10" s="33"/>
      <c r="P10" s="33"/>
      <c r="R10" s="32"/>
    </row>
    <row r="11" spans="1:18">
      <c r="A11" s="32" t="s">
        <v>54</v>
      </c>
      <c r="B11" s="37">
        <f t="shared" si="0"/>
        <v>746.13194900000008</v>
      </c>
      <c r="C11" s="33"/>
      <c r="D11" s="37">
        <f>IF(ISERROR(TER_onderwijs_gas_kWh/1000),0,TER_onderwijs_gas_kWh/1000)*0.902</f>
        <v>3815.2263242720001</v>
      </c>
      <c r="E11" s="33">
        <f>$C$31*'E Balans VL '!I11/100/3.6*1000000</f>
        <v>0</v>
      </c>
      <c r="F11" s="33">
        <f>$C$31*('E Balans VL '!L11+'E Balans VL '!N11)/100/3.6*1000000</f>
        <v>88.799733864695853</v>
      </c>
      <c r="G11" s="34"/>
      <c r="H11" s="33"/>
      <c r="I11" s="33"/>
      <c r="J11" s="33">
        <f>$C$31*('E Balans VL '!D11+'E Balans VL '!E11)/100/3.6*1000000</f>
        <v>0</v>
      </c>
      <c r="K11" s="33"/>
      <c r="L11" s="33"/>
      <c r="M11" s="33"/>
      <c r="N11" s="33">
        <f>$C$31*'E Balans VL '!Y11/100/3.6*1000000</f>
        <v>1.6593792487995713</v>
      </c>
      <c r="O11" s="33"/>
      <c r="P11" s="33"/>
      <c r="R11" s="32"/>
    </row>
    <row r="12" spans="1:18">
      <c r="A12" s="32" t="s">
        <v>248</v>
      </c>
      <c r="B12" s="37">
        <f t="shared" si="0"/>
        <v>3090.0897910000003</v>
      </c>
      <c r="C12" s="33"/>
      <c r="D12" s="37">
        <f>IF(ISERROR(TER_rest_gas_kWh/1000),0,TER_rest_gas_kWh/1000)*0.902</f>
        <v>5342.0393953080002</v>
      </c>
      <c r="E12" s="33">
        <f>$C$32*'E Balans VL '!I8/100/3.6*1000000</f>
        <v>9.1333608146516596</v>
      </c>
      <c r="F12" s="33">
        <f>$C$32*('E Balans VL '!L8+'E Balans VL '!N8)/100/3.6*1000000</f>
        <v>724.72392574891546</v>
      </c>
      <c r="G12" s="34"/>
      <c r="H12" s="33"/>
      <c r="I12" s="33"/>
      <c r="J12" s="33">
        <f>$C$32*('E Balans VL '!D8+'E Balans VL '!E8)/100/3.6*1000000</f>
        <v>6.1966529715956108E-3</v>
      </c>
      <c r="K12" s="33"/>
      <c r="L12" s="33"/>
      <c r="M12" s="33"/>
      <c r="N12" s="33">
        <f>$C$32*'E Balans VL '!Y8/100/3.6*1000000</f>
        <v>228.42330273441402</v>
      </c>
      <c r="O12" s="33"/>
      <c r="P12" s="33"/>
      <c r="R12" s="32"/>
    </row>
    <row r="13" spans="1:18">
      <c r="A13" s="16" t="s">
        <v>464</v>
      </c>
      <c r="B13" s="244">
        <f ca="1">'lokale energieproductie'!N38+'lokale energieproductie'!N31</f>
        <v>17</v>
      </c>
      <c r="C13" s="244">
        <f ca="1">'lokale energieproductie'!O38+'lokale energieproductie'!O31</f>
        <v>24.351351351351351</v>
      </c>
      <c r="D13" s="302">
        <f ca="1">('lokale energieproductie'!P31+'lokale energieproductie'!P38)*(-1)</f>
        <v>-45.945945945945944</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45872.447575999999</v>
      </c>
      <c r="C16" s="21">
        <f t="shared" ca="1" si="1"/>
        <v>24.351351351351351</v>
      </c>
      <c r="D16" s="21">
        <f t="shared" ca="1" si="1"/>
        <v>59393.927487588044</v>
      </c>
      <c r="E16" s="21">
        <f t="shared" si="1"/>
        <v>107.61135571617154</v>
      </c>
      <c r="F16" s="21">
        <f t="shared" ca="1" si="1"/>
        <v>5730.9859025938367</v>
      </c>
      <c r="G16" s="21">
        <f t="shared" si="1"/>
        <v>0</v>
      </c>
      <c r="H16" s="21">
        <f t="shared" si="1"/>
        <v>0</v>
      </c>
      <c r="I16" s="21">
        <f t="shared" si="1"/>
        <v>0</v>
      </c>
      <c r="J16" s="21">
        <f t="shared" si="1"/>
        <v>1.942519181791369E-2</v>
      </c>
      <c r="K16" s="21">
        <f t="shared" si="1"/>
        <v>0</v>
      </c>
      <c r="L16" s="21">
        <f t="shared" ca="1" si="1"/>
        <v>0</v>
      </c>
      <c r="M16" s="21">
        <f t="shared" si="1"/>
        <v>0</v>
      </c>
      <c r="N16" s="21">
        <f t="shared" ca="1" si="1"/>
        <v>773.19884842645979</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0.21444507291631082</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9837.1203652849654</v>
      </c>
      <c r="C20" s="23">
        <f t="shared" ref="C20:P20" ca="1" si="2">C16*C18</f>
        <v>5.4655255255255248</v>
      </c>
      <c r="D20" s="23">
        <f t="shared" ca="1" si="2"/>
        <v>11997.573352492785</v>
      </c>
      <c r="E20" s="23">
        <f t="shared" si="2"/>
        <v>24.427777747570943</v>
      </c>
      <c r="F20" s="23">
        <f t="shared" ca="1" si="2"/>
        <v>1530.1732359925545</v>
      </c>
      <c r="G20" s="23">
        <f t="shared" si="2"/>
        <v>0</v>
      </c>
      <c r="H20" s="23">
        <f t="shared" si="2"/>
        <v>0</v>
      </c>
      <c r="I20" s="23">
        <f t="shared" si="2"/>
        <v>0</v>
      </c>
      <c r="J20" s="23">
        <f t="shared" si="2"/>
        <v>6.876517903541446E-3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13406.442560000001</v>
      </c>
      <c r="C26" s="39">
        <f>IF(ISERROR(B26*3.6/1000000/'E Balans VL '!Z12*100),0,B26*3.6/1000000/'E Balans VL '!Z12*100)</f>
        <v>0.37518219633539968</v>
      </c>
      <c r="D26" s="234" t="s">
        <v>667</v>
      </c>
      <c r="F26" s="6"/>
    </row>
    <row r="27" spans="1:18">
      <c r="A27" s="228" t="s">
        <v>52</v>
      </c>
      <c r="B27" s="33">
        <f>IF(ISERROR(TER_horeca_ele_kWh/1000),0,TER_horeca_ele_kWh/1000)</f>
        <v>3323.8069690000002</v>
      </c>
      <c r="C27" s="39">
        <f>IF(ISERROR(B27*3.6/1000000/'E Balans VL '!Z9*100),0,B27*3.6/1000000/'E Balans VL '!Z9*100)</f>
        <v>0.24773143912567336</v>
      </c>
      <c r="D27" s="234" t="s">
        <v>667</v>
      </c>
      <c r="F27" s="6"/>
    </row>
    <row r="28" spans="1:18">
      <c r="A28" s="168" t="s">
        <v>51</v>
      </c>
      <c r="B28" s="33">
        <f>IF(ISERROR(TER_handel_ele_kWh/1000),0,TER_handel_ele_kWh/1000)</f>
        <v>22544.67856</v>
      </c>
      <c r="C28" s="39">
        <f>IF(ISERROR(B28*3.6/1000000/'E Balans VL '!Z13*100),0,B28*3.6/1000000/'E Balans VL '!Z13*100)</f>
        <v>0.6531790235897259</v>
      </c>
      <c r="D28" s="234" t="s">
        <v>667</v>
      </c>
      <c r="F28" s="6"/>
    </row>
    <row r="29" spans="1:18">
      <c r="A29" s="228" t="s">
        <v>50</v>
      </c>
      <c r="B29" s="33">
        <f>IF(ISERROR(TER_gezond_ele_kWh/1000),0,TER_gezond_ele_kWh/1000)</f>
        <v>1407.7473580000001</v>
      </c>
      <c r="C29" s="39">
        <f>IF(ISERROR(B29*3.6/1000000/'E Balans VL '!Z10*100),0,B29*3.6/1000000/'E Balans VL '!Z10*100)</f>
        <v>0.14197299986140074</v>
      </c>
      <c r="D29" s="234" t="s">
        <v>667</v>
      </c>
      <c r="F29" s="6"/>
    </row>
    <row r="30" spans="1:18">
      <c r="A30" s="228" t="s">
        <v>49</v>
      </c>
      <c r="B30" s="33">
        <f>IF(ISERROR(TER_ander_ele_kWh/1000),0,TER_ander_ele_kWh/1000)</f>
        <v>1336.550389</v>
      </c>
      <c r="C30" s="39">
        <f>IF(ISERROR(B30*3.6/1000000/'E Balans VL '!Z14*100),0,B30*3.6/1000000/'E Balans VL '!Z14*100)</f>
        <v>5.4178316094135467E-2</v>
      </c>
      <c r="D30" s="234" t="s">
        <v>667</v>
      </c>
      <c r="F30" s="6"/>
    </row>
    <row r="31" spans="1:18">
      <c r="A31" s="228" t="s">
        <v>54</v>
      </c>
      <c r="B31" s="33">
        <f>IF(ISERROR(TER_onderwijs_ele_kWh/1000),0,TER_onderwijs_ele_kWh/1000)</f>
        <v>746.13194900000008</v>
      </c>
      <c r="C31" s="39">
        <f>IF(ISERROR(B31*3.6/1000000/'E Balans VL '!Z11*100),0,B31*3.6/1000000/'E Balans VL '!Z11*100)</f>
        <v>0.21267798937274826</v>
      </c>
      <c r="D31" s="234" t="s">
        <v>667</v>
      </c>
    </row>
    <row r="32" spans="1:18">
      <c r="A32" s="228" t="s">
        <v>248</v>
      </c>
      <c r="B32" s="33">
        <f>IF(ISERROR(TER_rest_ele_kWh/1000),0,TER_rest_ele_kWh/1000)</f>
        <v>3090.0897910000003</v>
      </c>
      <c r="C32" s="39">
        <f>IF(ISERROR(B32*3.6/1000000/'E Balans VL '!Z8*100),0,B32*3.6/1000000/'E Balans VL '!Z8*100)</f>
        <v>2.5378783501415467E-2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47336.92650300001</v>
      </c>
      <c r="C5" s="17">
        <f>IF(ISERROR('Eigen informatie GS &amp; warmtenet'!B61),0,'Eigen informatie GS &amp; warmtenet'!B61)</f>
        <v>0</v>
      </c>
      <c r="D5" s="30">
        <f>SUM(D6:D15)</f>
        <v>94580.634331964</v>
      </c>
      <c r="E5" s="17">
        <f>SUM(E6:E15)</f>
        <v>525.90898765697352</v>
      </c>
      <c r="F5" s="17">
        <f>SUM(F6:F15)</f>
        <v>7047.0274032504512</v>
      </c>
      <c r="G5" s="18"/>
      <c r="H5" s="17"/>
      <c r="I5" s="17"/>
      <c r="J5" s="17">
        <f>SUM(J6:J15)</f>
        <v>37.024081199010823</v>
      </c>
      <c r="K5" s="17"/>
      <c r="L5" s="17"/>
      <c r="M5" s="17"/>
      <c r="N5" s="17">
        <f>SUM(N6:N15)</f>
        <v>2353.6575158783721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517.45362899999998</v>
      </c>
      <c r="C8" s="33"/>
      <c r="D8" s="37">
        <f>IF( ISERROR(IND_metaal_Gas_kWH/1000),0,IND_metaal_Gas_kWH/1000)*0.902</f>
        <v>306.46458345800005</v>
      </c>
      <c r="E8" s="33">
        <f>C30*'E Balans VL '!I18/100/3.6*1000000</f>
        <v>3.7133707991622931</v>
      </c>
      <c r="F8" s="33">
        <f>C30*'E Balans VL '!L18/100/3.6*1000000+C30*'E Balans VL '!N18/100/3.6*1000000</f>
        <v>34.441343097779161</v>
      </c>
      <c r="G8" s="34"/>
      <c r="H8" s="33"/>
      <c r="I8" s="33"/>
      <c r="J8" s="40">
        <f>C30*'E Balans VL '!D18/100/3.6*1000000+C30*'E Balans VL '!E18/100/3.6*1000000</f>
        <v>0.49884742526019971</v>
      </c>
      <c r="K8" s="33"/>
      <c r="L8" s="33"/>
      <c r="M8" s="33"/>
      <c r="N8" s="33">
        <f>C30*'E Balans VL '!Y18/100/3.6*1000000</f>
        <v>6.2703468254596881</v>
      </c>
      <c r="O8" s="33"/>
      <c r="P8" s="33"/>
      <c r="R8" s="32"/>
    </row>
    <row r="9" spans="1:18">
      <c r="A9" s="6" t="s">
        <v>32</v>
      </c>
      <c r="B9" s="37">
        <f t="shared" si="0"/>
        <v>5543.4595449999997</v>
      </c>
      <c r="C9" s="33"/>
      <c r="D9" s="37">
        <f>IF( ISERROR(IND_andere_gas_kWh/1000),0,IND_andere_gas_kWh/1000)*0.902</f>
        <v>5644.2529853599999</v>
      </c>
      <c r="E9" s="33">
        <f>C31*'E Balans VL '!I19/100/3.6*1000000</f>
        <v>14.574733111202926</v>
      </c>
      <c r="F9" s="33">
        <f>C31*'E Balans VL '!L19/100/3.6*1000000+C31*'E Balans VL '!N19/100/3.6*1000000</f>
        <v>3660.9265677951298</v>
      </c>
      <c r="G9" s="34"/>
      <c r="H9" s="33"/>
      <c r="I9" s="33"/>
      <c r="J9" s="40">
        <f>C31*'E Balans VL '!D19/100/3.6*1000000+C31*'E Balans VL '!E19/100/3.6*1000000</f>
        <v>0</v>
      </c>
      <c r="K9" s="33"/>
      <c r="L9" s="33"/>
      <c r="M9" s="33"/>
      <c r="N9" s="33">
        <f>C31*'E Balans VL '!Y19/100/3.6*1000000</f>
        <v>295.95648459728881</v>
      </c>
      <c r="O9" s="33"/>
      <c r="P9" s="33"/>
      <c r="R9" s="32"/>
    </row>
    <row r="10" spans="1:18">
      <c r="A10" s="6" t="s">
        <v>40</v>
      </c>
      <c r="B10" s="37">
        <f t="shared" si="0"/>
        <v>31438.386579999999</v>
      </c>
      <c r="C10" s="33"/>
      <c r="D10" s="37">
        <f>IF( ISERROR(IND_voed_gas_kWh/1000),0,IND_voed_gas_kWh/1000)*0.902</f>
        <v>38179.749843620004</v>
      </c>
      <c r="E10" s="33">
        <f>C32*'E Balans VL '!I20/100/3.6*1000000</f>
        <v>53.075183394874983</v>
      </c>
      <c r="F10" s="33">
        <f>C32*'E Balans VL '!L20/100/3.6*1000000+C32*'E Balans VL '!N20/100/3.6*1000000</f>
        <v>1845.2960833793286</v>
      </c>
      <c r="G10" s="34"/>
      <c r="H10" s="33"/>
      <c r="I10" s="33"/>
      <c r="J10" s="40">
        <f>C32*'E Balans VL '!D20/100/3.6*1000000+C32*'E Balans VL '!E20/100/3.6*1000000</f>
        <v>0</v>
      </c>
      <c r="K10" s="33"/>
      <c r="L10" s="33"/>
      <c r="M10" s="33"/>
      <c r="N10" s="33">
        <f>C32*'E Balans VL '!Y20/100/3.6*1000000</f>
        <v>1711.6627686938434</v>
      </c>
      <c r="O10" s="33"/>
      <c r="P10" s="33"/>
      <c r="R10" s="32"/>
    </row>
    <row r="11" spans="1:18">
      <c r="A11" s="6" t="s">
        <v>39</v>
      </c>
      <c r="B11" s="37">
        <f t="shared" si="0"/>
        <v>36.744313999999996</v>
      </c>
      <c r="C11" s="33"/>
      <c r="D11" s="37">
        <f>IF( ISERROR(IND_textiel_gas_kWh/1000),0,IND_textiel_gas_kWh/1000)*0.902</f>
        <v>67.327676613999998</v>
      </c>
      <c r="E11" s="33">
        <f>C33*'E Balans VL '!I21/100/3.6*1000000</f>
        <v>0.12798994530928287</v>
      </c>
      <c r="F11" s="33">
        <f>C33*'E Balans VL '!L21/100/3.6*1000000+C33*'E Balans VL '!N21/100/3.6*1000000</f>
        <v>0.97644831440069613</v>
      </c>
      <c r="G11" s="34"/>
      <c r="H11" s="33"/>
      <c r="I11" s="33"/>
      <c r="J11" s="40">
        <f>C33*'E Balans VL '!D21/100/3.6*1000000+C33*'E Balans VL '!E21/100/3.6*1000000</f>
        <v>0</v>
      </c>
      <c r="K11" s="33"/>
      <c r="L11" s="33"/>
      <c r="M11" s="33"/>
      <c r="N11" s="33">
        <f>C33*'E Balans VL '!Y21/100/3.6*1000000</f>
        <v>4.5423231595037557E-3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297.23101100000002</v>
      </c>
      <c r="C13" s="33"/>
      <c r="D13" s="37">
        <f>IF( ISERROR(IND_papier_gas_kWh/1000),0,IND_papier_gas_kWh/1000)*0.902</f>
        <v>233.27765736000001</v>
      </c>
      <c r="E13" s="33">
        <f>C35*'E Balans VL '!I23/100/3.6*1000000</f>
        <v>1.0516061934411229</v>
      </c>
      <c r="F13" s="33">
        <f>C35*'E Balans VL '!L23/100/3.6*1000000+C35*'E Balans VL '!N23/100/3.6*1000000</f>
        <v>2.7555601895983712</v>
      </c>
      <c r="G13" s="34"/>
      <c r="H13" s="33"/>
      <c r="I13" s="33"/>
      <c r="J13" s="40">
        <f>C35*'E Balans VL '!D23/100/3.6*1000000+C35*'E Balans VL '!E23/100/3.6*1000000</f>
        <v>0</v>
      </c>
      <c r="K13" s="33"/>
      <c r="L13" s="33"/>
      <c r="M13" s="33"/>
      <c r="N13" s="33">
        <f>C35*'E Balans VL '!Y23/100/3.6*1000000</f>
        <v>-6.4747978980104444</v>
      </c>
      <c r="O13" s="33"/>
      <c r="P13" s="33"/>
      <c r="R13" s="32"/>
    </row>
    <row r="14" spans="1:18">
      <c r="A14" s="6" t="s">
        <v>33</v>
      </c>
      <c r="B14" s="37">
        <f t="shared" si="0"/>
        <v>0</v>
      </c>
      <c r="C14" s="33"/>
      <c r="D14" s="37">
        <f>IF( ISERROR(IND_chemie_gas_kWh/1000),0,IND_chemie_gas_kWh/1000)*0.902</f>
        <v>661.28927273199997</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9503.6514239999997</v>
      </c>
      <c r="C15" s="33"/>
      <c r="D15" s="37">
        <f>IF( ISERROR(IND_rest_gas_kWh/1000),0,IND_rest_gas_kWh/1000)*0.902</f>
        <v>49488.272312820001</v>
      </c>
      <c r="E15" s="33">
        <f>C37*'E Balans VL '!I15/100/3.6*1000000</f>
        <v>453.36610421298292</v>
      </c>
      <c r="F15" s="33">
        <f>C37*'E Balans VL '!L15/100/3.6*1000000+C37*'E Balans VL '!N15/100/3.6*1000000</f>
        <v>1502.6314004742146</v>
      </c>
      <c r="G15" s="34"/>
      <c r="H15" s="33"/>
      <c r="I15" s="33"/>
      <c r="J15" s="40">
        <f>C37*'E Balans VL '!D15/100/3.6*1000000+C37*'E Balans VL '!E15/100/3.6*1000000</f>
        <v>36.525233773750621</v>
      </c>
      <c r="K15" s="33"/>
      <c r="L15" s="33"/>
      <c r="M15" s="33"/>
      <c r="N15" s="33">
        <f>C37*'E Balans VL '!Y15/100/3.6*1000000</f>
        <v>346.23817133663084</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47336.92650300001</v>
      </c>
      <c r="C18" s="21">
        <f>C5+C16</f>
        <v>0</v>
      </c>
      <c r="D18" s="21">
        <f>MAX((D5+D16),0)</f>
        <v>94580.634331964</v>
      </c>
      <c r="E18" s="21">
        <f>MAX((E5+E16),0)</f>
        <v>525.90898765697352</v>
      </c>
      <c r="F18" s="21">
        <f>MAX((F5+F16),0)</f>
        <v>7047.0274032504512</v>
      </c>
      <c r="G18" s="21"/>
      <c r="H18" s="21"/>
      <c r="I18" s="21"/>
      <c r="J18" s="21">
        <f>MAX((J5+J16),0)</f>
        <v>37.024081199010823</v>
      </c>
      <c r="K18" s="21"/>
      <c r="L18" s="21">
        <f>MAX((L5+L16),0)</f>
        <v>0</v>
      </c>
      <c r="M18" s="21"/>
      <c r="N18" s="21">
        <f>MAX((N5+N16),0)</f>
        <v>2353.6575158783721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0.21444507291631082</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10151.170655569884</v>
      </c>
      <c r="C22" s="23">
        <f ca="1">C18*C20</f>
        <v>0</v>
      </c>
      <c r="D22" s="23">
        <f>D18*D20</f>
        <v>19105.28813505673</v>
      </c>
      <c r="E22" s="23">
        <f>E18*E20</f>
        <v>119.38134019813299</v>
      </c>
      <c r="F22" s="23">
        <f>F18*F20</f>
        <v>1881.5563166678705</v>
      </c>
      <c r="G22" s="23"/>
      <c r="H22" s="23"/>
      <c r="I22" s="23"/>
      <c r="J22" s="23">
        <f>J18*J20</f>
        <v>13.10652474444983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517.45362899999998</v>
      </c>
      <c r="C30" s="39">
        <f>IF(ISERROR(B30*3.6/1000000/'E Balans VL '!Z18*100),0,B30*3.6/1000000/'E Balans VL '!Z18*100)</f>
        <v>2.8631454664743785E-2</v>
      </c>
      <c r="D30" s="234" t="s">
        <v>667</v>
      </c>
    </row>
    <row r="31" spans="1:18">
      <c r="A31" s="6" t="s">
        <v>32</v>
      </c>
      <c r="B31" s="37">
        <f>IF( ISERROR(IND_ander_ele_kWh/1000),0,IND_ander_ele_kWh/1000)</f>
        <v>5543.4595449999997</v>
      </c>
      <c r="C31" s="39">
        <f>IF(ISERROR(B31*3.6/1000000/'E Balans VL '!Z19*100),0,B31*3.6/1000000/'E Balans VL '!Z19*100)</f>
        <v>0.24182302631076619</v>
      </c>
      <c r="D31" s="234" t="s">
        <v>667</v>
      </c>
    </row>
    <row r="32" spans="1:18">
      <c r="A32" s="168" t="s">
        <v>40</v>
      </c>
      <c r="B32" s="37">
        <f>IF( ISERROR(IND_voed_ele_kWh/1000),0,IND_voed_ele_kWh/1000)</f>
        <v>31438.386579999999</v>
      </c>
      <c r="C32" s="39">
        <f>IF(ISERROR(B32*3.6/1000000/'E Balans VL '!Z20*100),0,B32*3.6/1000000/'E Balans VL '!Z20*100)</f>
        <v>0.98682865165180855</v>
      </c>
      <c r="D32" s="234" t="s">
        <v>667</v>
      </c>
    </row>
    <row r="33" spans="1:5">
      <c r="A33" s="168" t="s">
        <v>39</v>
      </c>
      <c r="B33" s="37">
        <f>IF( ISERROR(IND_textiel_ele_kWh/1000),0,IND_textiel_ele_kWh/1000)</f>
        <v>36.744313999999996</v>
      </c>
      <c r="C33" s="39">
        <f>IF(ISERROR(B33*3.6/1000000/'E Balans VL '!Z21*100),0,B33*3.6/1000000/'E Balans VL '!Z21*100)</f>
        <v>5.7065556140251132E-3</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297.23101100000002</v>
      </c>
      <c r="C35" s="39">
        <f>IF(ISERROR(B35*3.6/1000000/'E Balans VL '!Z22*100),0,B35*3.6/1000000/'E Balans VL '!Z22*100)</f>
        <v>0.13332039083959146</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9503.6514239999997</v>
      </c>
      <c r="C37" s="39">
        <f>IF(ISERROR(B37*3.6/1000000/'E Balans VL '!Z15*100),0,B37*3.6/1000000/'E Balans VL '!Z15*100)</f>
        <v>7.7344687570697193E-2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258.78003799999999</v>
      </c>
      <c r="C5" s="17">
        <f>'Eigen informatie GS &amp; warmtenet'!B62</f>
        <v>0</v>
      </c>
      <c r="D5" s="30">
        <f>IF(ISERROR(SUM(LB_lb_gas_kWh,LB_rest_gas_kWh)/1000),0,SUM(LB_lb_gas_kWh,LB_rest_gas_kWh)/1000)*0.902</f>
        <v>639.27201738400004</v>
      </c>
      <c r="E5" s="17">
        <f>B17*'E Balans VL '!I25/3.6*1000000/100</f>
        <v>10.513314250841841</v>
      </c>
      <c r="F5" s="17">
        <f>B17*('E Balans VL '!L25/3.6*1000000+'E Balans VL '!N25/3.6*1000000)/100</f>
        <v>915.39554399113922</v>
      </c>
      <c r="G5" s="18"/>
      <c r="H5" s="17"/>
      <c r="I5" s="17"/>
      <c r="J5" s="17">
        <f>('E Balans VL '!D25+'E Balans VL '!E25)/3.6*1000000*landbouw!B17/100</f>
        <v>73.524773000085176</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258.78003799999999</v>
      </c>
      <c r="C8" s="21">
        <f>C5+C6</f>
        <v>0</v>
      </c>
      <c r="D8" s="21">
        <f>MAX((D5+D6),0)</f>
        <v>639.27201738400004</v>
      </c>
      <c r="E8" s="21">
        <f>MAX((E5+E6),0)</f>
        <v>10.513314250841841</v>
      </c>
      <c r="F8" s="21">
        <f>MAX((F5+F6),0)</f>
        <v>915.39554399113922</v>
      </c>
      <c r="G8" s="21"/>
      <c r="H8" s="21"/>
      <c r="I8" s="21"/>
      <c r="J8" s="21">
        <f>MAX((J5+J6),0)</f>
        <v>73.524773000085176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0.21444507291631082</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55.494104118195679</v>
      </c>
      <c r="C12" s="23">
        <f ca="1">C8*C10</f>
        <v>0</v>
      </c>
      <c r="D12" s="23">
        <f>D8*D10</f>
        <v>129.13294751156801</v>
      </c>
      <c r="E12" s="23">
        <f>E8*E10</f>
        <v>2.3865223349410978</v>
      </c>
      <c r="F12" s="23">
        <f>F8*F10</f>
        <v>244.41061024563419</v>
      </c>
      <c r="G12" s="23"/>
      <c r="H12" s="23"/>
      <c r="I12" s="23"/>
      <c r="J12" s="23">
        <f>J8*J10</f>
        <v>26.027769642030151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3.8469507759732534E-2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6.8658583535705437</v>
      </c>
      <c r="C26" s="244">
        <f>B26*'GWP N2O_CH4'!B5</f>
        <v>144.18302542498142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0.41436017116443558</v>
      </c>
      <c r="C27" s="244">
        <f>B27*'GWP N2O_CH4'!B5</f>
        <v>8.7015635944531464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0.1161841047411396</v>
      </c>
      <c r="C28" s="244">
        <f>B28*'GWP N2O_CH4'!B4</f>
        <v>36.01707246975328</v>
      </c>
      <c r="D28" s="50"/>
    </row>
    <row r="29" spans="1:4">
      <c r="A29" s="41" t="s">
        <v>265</v>
      </c>
      <c r="B29" s="244">
        <f>B34*'ha_N2O bodem landbouw'!B4</f>
        <v>1.1546353443631976</v>
      </c>
      <c r="C29" s="244">
        <f>B29*'GWP N2O_CH4'!B4</f>
        <v>357.93695675259124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2.5319074227690501E-4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1.2472481583185489E-3</v>
      </c>
      <c r="C5" s="429" t="s">
        <v>204</v>
      </c>
      <c r="D5" s="414">
        <f>SUM(D6:D11)</f>
        <v>1.933857194678612E-3</v>
      </c>
      <c r="E5" s="414">
        <f>SUM(E6:E11)</f>
        <v>1.8708015306949355E-3</v>
      </c>
      <c r="F5" s="427" t="s">
        <v>204</v>
      </c>
      <c r="G5" s="414">
        <f>SUM(G6:G11)</f>
        <v>0.97123394560886345</v>
      </c>
      <c r="H5" s="414">
        <f>SUM(H6:H11)</f>
        <v>0.19048677541206441</v>
      </c>
      <c r="I5" s="429" t="s">
        <v>204</v>
      </c>
      <c r="J5" s="429" t="s">
        <v>204</v>
      </c>
      <c r="K5" s="429" t="s">
        <v>204</v>
      </c>
      <c r="L5" s="429" t="s">
        <v>204</v>
      </c>
      <c r="M5" s="414">
        <f>SUM(M6:M11)</f>
        <v>6.8595804870634547E-2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2.7667530588101793E-4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4.6939428603743819E-4</v>
      </c>
      <c r="E6" s="843">
        <f>vkm_GW_PW*SUMIFS(TableVerdeelsleutelVkm[LPG],TableVerdeelsleutelVkm[Voertuigtype],"Lichte voertuigen")*SUMIFS(TableECFTransport[EnergieConsumptieFactor (PJ per km)],TableECFTransport[Index],CONCATENATE($A6,"_LPG_LPG"))</f>
        <v>4.0640597561337035E-4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0.1298231085825215</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4.5163835806034697E-2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1.0473570051173459E-2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8.1788081544067218E-7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3.1216122261189524E-2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4.9750640593491955E-7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1.7993757892464162E-3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1.8688319103606896E-4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4.0421765317128931E-4</v>
      </c>
      <c r="E8" s="417">
        <f>vkm_NGW_PW*SUMIFS(TableVerdeelsleutelVkm[LPG],TableVerdeelsleutelVkm[Voertuigtype],"Lichte voertuigen")*SUMIFS(TableECFTransport[EnergieConsumptieFactor (PJ per km)],TableECFTransport[Index],CONCATENATE($A8,"_LPG_LPG"))</f>
        <v>3.3426287755435123E-4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9.9072988838324438E-2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3.8216084385113647E-2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8.2410654901911885E-3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2.9452924085158826E-7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1.4451587083335311E-2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2.1624870732590441E-7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8.3302489043348435E-4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7.7231138904904051E-4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1.0602452554698844E-3</v>
      </c>
      <c r="E10" s="417">
        <f>vkm_SW_PW*SUMIFS(TableVerdeelsleutelVkm[LPG],TableVerdeelsleutelVkm[Voertuigtype],"Lichte voertuigen")*SUMIFS(TableECFTransport[EnergieConsumptieFactor (PJ per km)],TableECFTransport[Index],CONCATENATE($A10,"_LPG_LPG"))</f>
        <v>1.1301326775272139E-3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0.3250492043448206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0.10709971407762525</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2.5827570018913167E-2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1.026586229612919E-5</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0.37162093449867206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6.4273881775614205E-6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2.1421198630676829E-2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346.45782175515251</v>
      </c>
      <c r="C14" s="21"/>
      <c r="D14" s="21">
        <f t="shared" ref="D14:M14" si="0">((D5)*10^9/3600)+D12</f>
        <v>537.18255407739218</v>
      </c>
      <c r="E14" s="21">
        <f t="shared" si="0"/>
        <v>519.66709185970433</v>
      </c>
      <c r="F14" s="21"/>
      <c r="G14" s="21">
        <f t="shared" si="0"/>
        <v>269787.20711357321</v>
      </c>
      <c r="H14" s="21">
        <f t="shared" si="0"/>
        <v>52912.993170017893</v>
      </c>
      <c r="I14" s="21"/>
      <c r="J14" s="21"/>
      <c r="K14" s="21"/>
      <c r="L14" s="21"/>
      <c r="M14" s="21">
        <f t="shared" si="0"/>
        <v>19054.390241842928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0.21444507291631082</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74.296172848709901</v>
      </c>
      <c r="C18" s="23"/>
      <c r="D18" s="23">
        <f t="shared" ref="D18:M18" si="1">D14*D16</f>
        <v>108.51087592363322</v>
      </c>
      <c r="E18" s="23">
        <f t="shared" si="1"/>
        <v>117.96442985215289</v>
      </c>
      <c r="F18" s="23"/>
      <c r="G18" s="23">
        <f t="shared" si="1"/>
        <v>72033.184299324057</v>
      </c>
      <c r="H18" s="23">
        <f t="shared" si="1"/>
        <v>13175.335299334456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1.7099718765006762E-4</v>
      </c>
      <c r="C50" s="313">
        <f t="shared" ref="C50:P50" si="2">SUM(C51:C52)</f>
        <v>0</v>
      </c>
      <c r="D50" s="313">
        <f t="shared" si="2"/>
        <v>0</v>
      </c>
      <c r="E50" s="313">
        <f t="shared" si="2"/>
        <v>0</v>
      </c>
      <c r="F50" s="313">
        <f t="shared" si="2"/>
        <v>0</v>
      </c>
      <c r="G50" s="313">
        <f t="shared" si="2"/>
        <v>1.2389003971123858E-2</v>
      </c>
      <c r="H50" s="313">
        <f t="shared" si="2"/>
        <v>0</v>
      </c>
      <c r="I50" s="313">
        <f t="shared" si="2"/>
        <v>0</v>
      </c>
      <c r="J50" s="313">
        <f t="shared" si="2"/>
        <v>0</v>
      </c>
      <c r="K50" s="313">
        <f t="shared" si="2"/>
        <v>0</v>
      </c>
      <c r="L50" s="313">
        <f t="shared" si="2"/>
        <v>0</v>
      </c>
      <c r="M50" s="313">
        <f t="shared" si="2"/>
        <v>7.0075895947395146E-4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1.7099718765006762E-4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1.2389003971123858E-2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7.0075895947395146E-4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47.49921879168545</v>
      </c>
      <c r="C54" s="21">
        <f t="shared" ref="C54:P54" si="3">(C50)*10^9/3600</f>
        <v>0</v>
      </c>
      <c r="D54" s="21">
        <f t="shared" si="3"/>
        <v>0</v>
      </c>
      <c r="E54" s="21">
        <f t="shared" si="3"/>
        <v>0</v>
      </c>
      <c r="F54" s="21">
        <f t="shared" si="3"/>
        <v>0</v>
      </c>
      <c r="G54" s="21">
        <f t="shared" si="3"/>
        <v>3441.3899919788491</v>
      </c>
      <c r="H54" s="21">
        <f t="shared" si="3"/>
        <v>0</v>
      </c>
      <c r="I54" s="21">
        <f t="shared" si="3"/>
        <v>0</v>
      </c>
      <c r="J54" s="21">
        <f t="shared" si="3"/>
        <v>0</v>
      </c>
      <c r="K54" s="21">
        <f t="shared" si="3"/>
        <v>0</v>
      </c>
      <c r="L54" s="21">
        <f t="shared" si="3"/>
        <v>0</v>
      </c>
      <c r="M54" s="21">
        <f t="shared" si="3"/>
        <v>194.65526652054209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0.21444507291631082</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10.185973437250787</v>
      </c>
      <c r="C58" s="23">
        <f t="shared" ref="C58:P58" ca="1" si="4">C54*C56</f>
        <v>0</v>
      </c>
      <c r="D58" s="23">
        <f t="shared" si="4"/>
        <v>0</v>
      </c>
      <c r="E58" s="23">
        <f t="shared" si="4"/>
        <v>0</v>
      </c>
      <c r="F58" s="23">
        <f t="shared" si="4"/>
        <v>0</v>
      </c>
      <c r="G58" s="23">
        <f t="shared" si="4"/>
        <v>918.85112785835281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4574.2870795593162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17</v>
      </c>
      <c r="C8" s="539">
        <f>B48</f>
        <v>18.888888888888886</v>
      </c>
      <c r="D8" s="540"/>
      <c r="E8" s="540">
        <f>E48</f>
        <v>0</v>
      </c>
      <c r="F8" s="541"/>
      <c r="G8" s="542"/>
      <c r="H8" s="540">
        <f>I48</f>
        <v>0</v>
      </c>
      <c r="I8" s="540">
        <f>G48+F48</f>
        <v>0</v>
      </c>
      <c r="J8" s="540">
        <f>H48+D48+C48</f>
        <v>0</v>
      </c>
      <c r="K8" s="540"/>
      <c r="L8" s="540"/>
      <c r="M8" s="540"/>
      <c r="N8" s="543"/>
      <c r="O8" s="544">
        <f>C8*$C$12+D8*$D$12+E8*$E$12+F8*$F$12+G8*$G$12+H8*$H$12+I8*$I$12+J8*$J$12</f>
        <v>3.8155555555555551</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4591.2870795593162</v>
      </c>
      <c r="C10" s="554">
        <f t="shared" ref="C10:L10" si="0">SUM(C8:C9)</f>
        <v>18.888888888888886</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3.8155555555555551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24.351351351351351</v>
      </c>
      <c r="C17" s="570">
        <f>B49</f>
        <v>27.057057057057051</v>
      </c>
      <c r="D17" s="571"/>
      <c r="E17" s="571">
        <f>E49</f>
        <v>0</v>
      </c>
      <c r="F17" s="572"/>
      <c r="G17" s="573"/>
      <c r="H17" s="570">
        <f>I49</f>
        <v>0</v>
      </c>
      <c r="I17" s="571">
        <f>G49+F49</f>
        <v>0</v>
      </c>
      <c r="J17" s="571">
        <f>H49+D49+C49</f>
        <v>0</v>
      </c>
      <c r="K17" s="571"/>
      <c r="L17" s="571"/>
      <c r="M17" s="571"/>
      <c r="N17" s="924"/>
      <c r="O17" s="574">
        <f>C17*$C$22+E17*$E$22+H17*$H$22+I17*$I$22+J17*$J$22+D17*$D$22+F17*$F$22+G17*$G$22+K17*$K$22+L17*$L$22</f>
        <v>5.4655255255255248</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24.351351351351351</v>
      </c>
      <c r="C20" s="553">
        <f>SUM(C17:C19)</f>
        <v>27.057057057057051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5.4655255255255248</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51" hidden="1">
      <c r="A28" s="583"/>
      <c r="B28" s="745">
        <v>11040</v>
      </c>
      <c r="C28" s="745">
        <v>2900</v>
      </c>
      <c r="D28" s="631"/>
      <c r="E28" s="630"/>
      <c r="F28" s="630"/>
      <c r="G28" s="630" t="s">
        <v>883</v>
      </c>
      <c r="H28" s="630" t="s">
        <v>883</v>
      </c>
      <c r="I28" s="630"/>
      <c r="J28" s="744"/>
      <c r="K28" s="744"/>
      <c r="L28" s="630" t="s">
        <v>884</v>
      </c>
      <c r="M28" s="630">
        <v>3.4</v>
      </c>
      <c r="N28" s="630">
        <v>17</v>
      </c>
      <c r="O28" s="630">
        <v>24.351351351351351</v>
      </c>
      <c r="P28" s="630">
        <v>45.945945945945944</v>
      </c>
      <c r="Q28" s="630">
        <v>0</v>
      </c>
      <c r="R28" s="630">
        <v>0</v>
      </c>
      <c r="S28" s="630">
        <v>0</v>
      </c>
      <c r="T28" s="630">
        <v>0</v>
      </c>
      <c r="U28" s="630">
        <v>0</v>
      </c>
      <c r="V28" s="630">
        <v>0</v>
      </c>
      <c r="W28" s="630">
        <v>0</v>
      </c>
      <c r="X28" s="630"/>
      <c r="Y28" s="630">
        <v>1500</v>
      </c>
      <c r="Z28" s="630" t="s">
        <v>50</v>
      </c>
      <c r="AA28" s="632" t="s">
        <v>149</v>
      </c>
    </row>
    <row r="29" spans="1:27" s="564" customFormat="1" hidden="1">
      <c r="A29" s="586" t="s">
        <v>268</v>
      </c>
      <c r="B29" s="587"/>
      <c r="C29" s="587"/>
      <c r="D29" s="587"/>
      <c r="E29" s="587"/>
      <c r="F29" s="587"/>
      <c r="G29" s="587"/>
      <c r="H29" s="587"/>
      <c r="I29" s="587"/>
      <c r="J29" s="587"/>
      <c r="K29" s="587"/>
      <c r="L29" s="588"/>
      <c r="M29" s="588">
        <f>SUM(M28:M28)</f>
        <v>3.4</v>
      </c>
      <c r="N29" s="588">
        <f>SUM(N28:N28)</f>
        <v>17</v>
      </c>
      <c r="O29" s="588">
        <f>SUM(O28:O28)</f>
        <v>24.351351351351351</v>
      </c>
      <c r="P29" s="588">
        <f>SUM(P28:P28)</f>
        <v>45.945945945945944</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3.4</v>
      </c>
      <c r="N31" s="588">
        <f ca="1">SUMIF($AA$28:AE28,"tertiair",N28:N28)</f>
        <v>17</v>
      </c>
      <c r="O31" s="588">
        <f ca="1">SUMIF($AA$28:AF28,"tertiair",O28:O28)</f>
        <v>24.351351351351351</v>
      </c>
      <c r="P31" s="588">
        <f ca="1">SUMIF($AA$28:AG28,"tertiair",P28:P28)</f>
        <v>45.945945945945944</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0.5888888888888888</v>
      </c>
      <c r="C45" s="613">
        <f>IF(ISERROR(N29/(O29+N29)),0,N29/(N29+O29))</f>
        <v>0.41111111111111109</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18.888888888888886</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27.057057057057051</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47360.411575999999</v>
      </c>
      <c r="D10" s="641">
        <f ca="1">tertiair!C16</f>
        <v>24.351351351351351</v>
      </c>
      <c r="E10" s="641">
        <f ca="1">tertiair!D16</f>
        <v>59393.927487588044</v>
      </c>
      <c r="F10" s="641">
        <f>tertiair!E16</f>
        <v>107.61135571617154</v>
      </c>
      <c r="G10" s="641">
        <f ca="1">tertiair!F16</f>
        <v>5730.9859025938367</v>
      </c>
      <c r="H10" s="641">
        <f>tertiair!G16</f>
        <v>0</v>
      </c>
      <c r="I10" s="641">
        <f>tertiair!H16</f>
        <v>0</v>
      </c>
      <c r="J10" s="641">
        <f>tertiair!I16</f>
        <v>0</v>
      </c>
      <c r="K10" s="641">
        <f>tertiair!J16</f>
        <v>1.942519181791369E-2</v>
      </c>
      <c r="L10" s="641">
        <f>tertiair!K16</f>
        <v>0</v>
      </c>
      <c r="M10" s="641">
        <f ca="1">tertiair!L16</f>
        <v>0</v>
      </c>
      <c r="N10" s="641">
        <f>tertiair!M16</f>
        <v>0</v>
      </c>
      <c r="O10" s="641">
        <f ca="1">tertiair!N16</f>
        <v>773.19884842645979</v>
      </c>
      <c r="P10" s="641">
        <f>tertiair!O16</f>
        <v>4.8972607658411542</v>
      </c>
      <c r="Q10" s="642">
        <f>tertiair!P16</f>
        <v>52.539138306495019</v>
      </c>
      <c r="R10" s="644">
        <f ca="1">SUM(C10:Q10)</f>
        <v>113447.94234594001</v>
      </c>
      <c r="S10" s="67"/>
    </row>
    <row r="11" spans="1:19" s="440" customFormat="1">
      <c r="A11" s="761" t="s">
        <v>213</v>
      </c>
      <c r="B11" s="766"/>
      <c r="C11" s="641">
        <f>huishoudens!B8</f>
        <v>56618.846375000481</v>
      </c>
      <c r="D11" s="641">
        <f>huishoudens!C8</f>
        <v>0</v>
      </c>
      <c r="E11" s="641">
        <f>huishoudens!D8</f>
        <v>173845.7488724</v>
      </c>
      <c r="F11" s="641">
        <f>huishoudens!E8</f>
        <v>2258.5556636395504</v>
      </c>
      <c r="G11" s="641">
        <f>huishoudens!F8</f>
        <v>43464.318524402341</v>
      </c>
      <c r="H11" s="641">
        <f>huishoudens!G8</f>
        <v>0</v>
      </c>
      <c r="I11" s="641">
        <f>huishoudens!H8</f>
        <v>0</v>
      </c>
      <c r="J11" s="641">
        <f>huishoudens!I8</f>
        <v>0</v>
      </c>
      <c r="K11" s="641">
        <f>huishoudens!J8</f>
        <v>222.41154407842481</v>
      </c>
      <c r="L11" s="641">
        <f>huishoudens!K8</f>
        <v>0</v>
      </c>
      <c r="M11" s="641">
        <f>huishoudens!L8</f>
        <v>0</v>
      </c>
      <c r="N11" s="641">
        <f>huishoudens!M8</f>
        <v>0</v>
      </c>
      <c r="O11" s="641">
        <f>huishoudens!N8</f>
        <v>17080.980519448334</v>
      </c>
      <c r="P11" s="641">
        <f>huishoudens!O8</f>
        <v>371.00018702537494</v>
      </c>
      <c r="Q11" s="642">
        <f>huishoudens!P8</f>
        <v>684.70735499952639</v>
      </c>
      <c r="R11" s="644">
        <f>SUM(C11:Q11)</f>
        <v>294546.5690409941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47336.92650300001</v>
      </c>
      <c r="D13" s="641">
        <f>industrie!C18</f>
        <v>0</v>
      </c>
      <c r="E13" s="641">
        <f>industrie!D18</f>
        <v>94580.634331964</v>
      </c>
      <c r="F13" s="641">
        <f>industrie!E18</f>
        <v>525.90898765697352</v>
      </c>
      <c r="G13" s="641">
        <f>industrie!F18</f>
        <v>7047.0274032504512</v>
      </c>
      <c r="H13" s="641">
        <f>industrie!G18</f>
        <v>0</v>
      </c>
      <c r="I13" s="641">
        <f>industrie!H18</f>
        <v>0</v>
      </c>
      <c r="J13" s="641">
        <f>industrie!I18</f>
        <v>0</v>
      </c>
      <c r="K13" s="641">
        <f>industrie!J18</f>
        <v>37.024081199010823</v>
      </c>
      <c r="L13" s="641">
        <f>industrie!K18</f>
        <v>0</v>
      </c>
      <c r="M13" s="641">
        <f>industrie!L18</f>
        <v>0</v>
      </c>
      <c r="N13" s="641">
        <f>industrie!M18</f>
        <v>0</v>
      </c>
      <c r="O13" s="641">
        <f>industrie!N18</f>
        <v>2353.6575158783721</v>
      </c>
      <c r="P13" s="641">
        <f>industrie!O18</f>
        <v>0</v>
      </c>
      <c r="Q13" s="642">
        <f>industrie!P18</f>
        <v>0</v>
      </c>
      <c r="R13" s="644">
        <f>SUM(C13:Q13)</f>
        <v>151881.17882294883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151316.1844540005</v>
      </c>
      <c r="D16" s="677">
        <f t="shared" ref="D16:R16" ca="1" si="0">SUM(D9:D15)</f>
        <v>24.351351351351351</v>
      </c>
      <c r="E16" s="677">
        <f t="shared" ca="1" si="0"/>
        <v>327820.31069195207</v>
      </c>
      <c r="F16" s="677">
        <f t="shared" si="0"/>
        <v>2892.0760070126953</v>
      </c>
      <c r="G16" s="677">
        <f t="shared" ca="1" si="0"/>
        <v>56242.331830246629</v>
      </c>
      <c r="H16" s="677">
        <f t="shared" si="0"/>
        <v>0</v>
      </c>
      <c r="I16" s="677">
        <f t="shared" si="0"/>
        <v>0</v>
      </c>
      <c r="J16" s="677">
        <f t="shared" si="0"/>
        <v>0</v>
      </c>
      <c r="K16" s="677">
        <f t="shared" si="0"/>
        <v>259.45505046925354</v>
      </c>
      <c r="L16" s="677">
        <f t="shared" si="0"/>
        <v>0</v>
      </c>
      <c r="M16" s="677">
        <f t="shared" ca="1" si="0"/>
        <v>0</v>
      </c>
      <c r="N16" s="677">
        <f t="shared" si="0"/>
        <v>0</v>
      </c>
      <c r="O16" s="677">
        <f t="shared" ca="1" si="0"/>
        <v>20207.836883753163</v>
      </c>
      <c r="P16" s="677">
        <f t="shared" si="0"/>
        <v>375.89744779121611</v>
      </c>
      <c r="Q16" s="677">
        <f t="shared" si="0"/>
        <v>737.24649330602142</v>
      </c>
      <c r="R16" s="677">
        <f t="shared" ca="1" si="0"/>
        <v>559875.69020988292</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47.49921879168545</v>
      </c>
      <c r="D19" s="641">
        <f>transport!C54</f>
        <v>0</v>
      </c>
      <c r="E19" s="641">
        <f>transport!D54</f>
        <v>0</v>
      </c>
      <c r="F19" s="641">
        <f>transport!E54</f>
        <v>0</v>
      </c>
      <c r="G19" s="641">
        <f>transport!F54</f>
        <v>0</v>
      </c>
      <c r="H19" s="641">
        <f>transport!G54</f>
        <v>3441.3899919788491</v>
      </c>
      <c r="I19" s="641">
        <f>transport!H54</f>
        <v>0</v>
      </c>
      <c r="J19" s="641">
        <f>transport!I54</f>
        <v>0</v>
      </c>
      <c r="K19" s="641">
        <f>transport!J54</f>
        <v>0</v>
      </c>
      <c r="L19" s="641">
        <f>transport!K54</f>
        <v>0</v>
      </c>
      <c r="M19" s="641">
        <f>transport!L54</f>
        <v>0</v>
      </c>
      <c r="N19" s="641">
        <f>transport!M54</f>
        <v>194.65526652054209</v>
      </c>
      <c r="O19" s="641">
        <f>transport!N54</f>
        <v>0</v>
      </c>
      <c r="P19" s="641">
        <f>transport!O54</f>
        <v>0</v>
      </c>
      <c r="Q19" s="642">
        <f>transport!P54</f>
        <v>0</v>
      </c>
      <c r="R19" s="644">
        <f>SUM(C19:Q19)</f>
        <v>3683.5444772910769</v>
      </c>
      <c r="S19" s="67"/>
    </row>
    <row r="20" spans="1:19" s="440" customFormat="1">
      <c r="A20" s="761" t="s">
        <v>295</v>
      </c>
      <c r="B20" s="766"/>
      <c r="C20" s="641">
        <f>transport!B14</f>
        <v>346.45782175515251</v>
      </c>
      <c r="D20" s="641">
        <f>transport!C14</f>
        <v>0</v>
      </c>
      <c r="E20" s="641">
        <f>transport!D14</f>
        <v>537.18255407739218</v>
      </c>
      <c r="F20" s="641">
        <f>transport!E14</f>
        <v>519.66709185970433</v>
      </c>
      <c r="G20" s="641">
        <f>transport!F14</f>
        <v>0</v>
      </c>
      <c r="H20" s="641">
        <f>transport!G14</f>
        <v>269787.20711357321</v>
      </c>
      <c r="I20" s="641">
        <f>transport!H14</f>
        <v>52912.993170017893</v>
      </c>
      <c r="J20" s="641">
        <f>transport!I14</f>
        <v>0</v>
      </c>
      <c r="K20" s="641">
        <f>transport!J14</f>
        <v>0</v>
      </c>
      <c r="L20" s="641">
        <f>transport!K14</f>
        <v>0</v>
      </c>
      <c r="M20" s="641">
        <f>transport!L14</f>
        <v>0</v>
      </c>
      <c r="N20" s="641">
        <f>transport!M14</f>
        <v>19054.390241842928</v>
      </c>
      <c r="O20" s="641">
        <f>transport!N14</f>
        <v>0</v>
      </c>
      <c r="P20" s="641">
        <f>transport!O14</f>
        <v>0</v>
      </c>
      <c r="Q20" s="642">
        <f>transport!P14</f>
        <v>0</v>
      </c>
      <c r="R20" s="644">
        <f>SUM(C20:Q20)</f>
        <v>343157.8979931263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393.95704054683796</v>
      </c>
      <c r="D22" s="764">
        <f t="shared" ref="D22:R22" si="1">SUM(D18:D21)</f>
        <v>0</v>
      </c>
      <c r="E22" s="764">
        <f t="shared" si="1"/>
        <v>537.18255407739218</v>
      </c>
      <c r="F22" s="764">
        <f t="shared" si="1"/>
        <v>519.66709185970433</v>
      </c>
      <c r="G22" s="764">
        <f t="shared" si="1"/>
        <v>0</v>
      </c>
      <c r="H22" s="764">
        <f t="shared" si="1"/>
        <v>273228.59710555203</v>
      </c>
      <c r="I22" s="764">
        <f t="shared" si="1"/>
        <v>52912.993170017893</v>
      </c>
      <c r="J22" s="764">
        <f t="shared" si="1"/>
        <v>0</v>
      </c>
      <c r="K22" s="764">
        <f t="shared" si="1"/>
        <v>0</v>
      </c>
      <c r="L22" s="764">
        <f t="shared" si="1"/>
        <v>0</v>
      </c>
      <c r="M22" s="764">
        <f t="shared" si="1"/>
        <v>0</v>
      </c>
      <c r="N22" s="764">
        <f t="shared" si="1"/>
        <v>19249.04550836347</v>
      </c>
      <c r="O22" s="764">
        <f t="shared" si="1"/>
        <v>0</v>
      </c>
      <c r="P22" s="764">
        <f t="shared" si="1"/>
        <v>0</v>
      </c>
      <c r="Q22" s="764">
        <f t="shared" si="1"/>
        <v>0</v>
      </c>
      <c r="R22" s="764">
        <f t="shared" si="1"/>
        <v>346841.44247041736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258.78003799999999</v>
      </c>
      <c r="D24" s="641">
        <f>+landbouw!C8</f>
        <v>0</v>
      </c>
      <c r="E24" s="641">
        <f>+landbouw!D8</f>
        <v>639.27201738400004</v>
      </c>
      <c r="F24" s="641">
        <f>+landbouw!E8</f>
        <v>10.513314250841841</v>
      </c>
      <c r="G24" s="641">
        <f>+landbouw!F8</f>
        <v>915.39554399113922</v>
      </c>
      <c r="H24" s="641">
        <f>+landbouw!G8</f>
        <v>0</v>
      </c>
      <c r="I24" s="641">
        <f>+landbouw!H8</f>
        <v>0</v>
      </c>
      <c r="J24" s="641">
        <f>+landbouw!I8</f>
        <v>0</v>
      </c>
      <c r="K24" s="641">
        <f>+landbouw!J8</f>
        <v>73.524773000085176</v>
      </c>
      <c r="L24" s="641">
        <f>+landbouw!K8</f>
        <v>0</v>
      </c>
      <c r="M24" s="641">
        <f>+landbouw!L8</f>
        <v>0</v>
      </c>
      <c r="N24" s="641">
        <f>+landbouw!M8</f>
        <v>0</v>
      </c>
      <c r="O24" s="641">
        <f>+landbouw!N8</f>
        <v>0</v>
      </c>
      <c r="P24" s="641">
        <f>+landbouw!O8</f>
        <v>0</v>
      </c>
      <c r="Q24" s="642">
        <f>+landbouw!P8</f>
        <v>0</v>
      </c>
      <c r="R24" s="644">
        <f>SUM(C24:Q24)</f>
        <v>1897.4856866260661</v>
      </c>
      <c r="S24" s="67"/>
    </row>
    <row r="25" spans="1:19" s="440" customFormat="1" ht="15" thickBot="1">
      <c r="A25" s="783" t="s">
        <v>683</v>
      </c>
      <c r="B25" s="901"/>
      <c r="C25" s="902">
        <f>IF(Onbekend_ele_kWh="---",0,Onbekend_ele_kWh)/1000+IF(REST_rest_ele_kWh="---",0,REST_rest_ele_kWh)/1000</f>
        <v>2244.6762880000001</v>
      </c>
      <c r="D25" s="902"/>
      <c r="E25" s="902">
        <f>IF(onbekend_gas_kWh="---",0,onbekend_gas_kWh)/1000+IF(REST_rest_gas_kWh="---",0,REST_rest_gas_kWh)/1000</f>
        <v>20657.095390000002</v>
      </c>
      <c r="F25" s="902"/>
      <c r="G25" s="902"/>
      <c r="H25" s="902"/>
      <c r="I25" s="902"/>
      <c r="J25" s="902"/>
      <c r="K25" s="902"/>
      <c r="L25" s="902"/>
      <c r="M25" s="902"/>
      <c r="N25" s="902"/>
      <c r="O25" s="902"/>
      <c r="P25" s="902"/>
      <c r="Q25" s="903"/>
      <c r="R25" s="644">
        <f>SUM(C25:Q25)</f>
        <v>22901.771678000001</v>
      </c>
      <c r="S25" s="67"/>
    </row>
    <row r="26" spans="1:19" s="440" customFormat="1" ht="15.75" thickBot="1">
      <c r="A26" s="649" t="s">
        <v>684</v>
      </c>
      <c r="B26" s="769"/>
      <c r="C26" s="764">
        <f>SUM(C24:C25)</f>
        <v>2503.456326</v>
      </c>
      <c r="D26" s="764">
        <f t="shared" ref="D26:R26" si="2">SUM(D24:D25)</f>
        <v>0</v>
      </c>
      <c r="E26" s="764">
        <f t="shared" si="2"/>
        <v>21296.367407384001</v>
      </c>
      <c r="F26" s="764">
        <f t="shared" si="2"/>
        <v>10.513314250841841</v>
      </c>
      <c r="G26" s="764">
        <f t="shared" si="2"/>
        <v>915.39554399113922</v>
      </c>
      <c r="H26" s="764">
        <f t="shared" si="2"/>
        <v>0</v>
      </c>
      <c r="I26" s="764">
        <f t="shared" si="2"/>
        <v>0</v>
      </c>
      <c r="J26" s="764">
        <f t="shared" si="2"/>
        <v>0</v>
      </c>
      <c r="K26" s="764">
        <f t="shared" si="2"/>
        <v>73.524773000085176</v>
      </c>
      <c r="L26" s="764">
        <f t="shared" si="2"/>
        <v>0</v>
      </c>
      <c r="M26" s="764">
        <f t="shared" si="2"/>
        <v>0</v>
      </c>
      <c r="N26" s="764">
        <f t="shared" si="2"/>
        <v>0</v>
      </c>
      <c r="O26" s="764">
        <f t="shared" si="2"/>
        <v>0</v>
      </c>
      <c r="P26" s="764">
        <f t="shared" si="2"/>
        <v>0</v>
      </c>
      <c r="Q26" s="764">
        <f t="shared" si="2"/>
        <v>0</v>
      </c>
      <c r="R26" s="764">
        <f t="shared" si="2"/>
        <v>24799.257364626068</v>
      </c>
      <c r="S26" s="67"/>
    </row>
    <row r="27" spans="1:19" s="440" customFormat="1" ht="17.25" thickTop="1" thickBot="1">
      <c r="A27" s="650" t="s">
        <v>109</v>
      </c>
      <c r="B27" s="756"/>
      <c r="C27" s="651">
        <f ca="1">C22+C16+C26</f>
        <v>154213.59782054735</v>
      </c>
      <c r="D27" s="651">
        <f t="shared" ref="D27:R27" ca="1" si="3">D22+D16+D26</f>
        <v>24.351351351351351</v>
      </c>
      <c r="E27" s="651">
        <f t="shared" ca="1" si="3"/>
        <v>349653.86065341346</v>
      </c>
      <c r="F27" s="651">
        <f t="shared" si="3"/>
        <v>3422.2564131232411</v>
      </c>
      <c r="G27" s="651">
        <f t="shared" ca="1" si="3"/>
        <v>57157.727374237766</v>
      </c>
      <c r="H27" s="651">
        <f t="shared" si="3"/>
        <v>273228.59710555203</v>
      </c>
      <c r="I27" s="651">
        <f t="shared" si="3"/>
        <v>52912.993170017893</v>
      </c>
      <c r="J27" s="651">
        <f t="shared" si="3"/>
        <v>0</v>
      </c>
      <c r="K27" s="651">
        <f t="shared" si="3"/>
        <v>332.97982346933873</v>
      </c>
      <c r="L27" s="651">
        <f t="shared" si="3"/>
        <v>0</v>
      </c>
      <c r="M27" s="651">
        <f t="shared" ca="1" si="3"/>
        <v>0</v>
      </c>
      <c r="N27" s="651">
        <f t="shared" si="3"/>
        <v>19249.04550836347</v>
      </c>
      <c r="O27" s="651">
        <f t="shared" ca="1" si="3"/>
        <v>20207.836883753163</v>
      </c>
      <c r="P27" s="651">
        <f t="shared" si="3"/>
        <v>375.89744779121611</v>
      </c>
      <c r="Q27" s="651">
        <f t="shared" si="3"/>
        <v>737.24649330602142</v>
      </c>
      <c r="R27" s="651">
        <f t="shared" ca="1" si="3"/>
        <v>931516.39004492632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10156.206913761811</v>
      </c>
      <c r="D40" s="641">
        <f ca="1">tertiair!C20</f>
        <v>5.4655255255255248</v>
      </c>
      <c r="E40" s="641">
        <f ca="1">tertiair!D20</f>
        <v>11997.573352492785</v>
      </c>
      <c r="F40" s="641">
        <f>tertiair!E20</f>
        <v>24.427777747570943</v>
      </c>
      <c r="G40" s="641">
        <f ca="1">tertiair!F20</f>
        <v>1530.1732359925545</v>
      </c>
      <c r="H40" s="641">
        <f>tertiair!G20</f>
        <v>0</v>
      </c>
      <c r="I40" s="641">
        <f>tertiair!H20</f>
        <v>0</v>
      </c>
      <c r="J40" s="641">
        <f>tertiair!I20</f>
        <v>0</v>
      </c>
      <c r="K40" s="641">
        <f>tertiair!J20</f>
        <v>6.876517903541446E-3</v>
      </c>
      <c r="L40" s="641">
        <f>tertiair!K20</f>
        <v>0</v>
      </c>
      <c r="M40" s="641">
        <f ca="1">tertiair!L20</f>
        <v>0</v>
      </c>
      <c r="N40" s="641">
        <f>tertiair!M20</f>
        <v>0</v>
      </c>
      <c r="O40" s="641">
        <f ca="1">tertiair!N20</f>
        <v>0</v>
      </c>
      <c r="P40" s="641">
        <f>tertiair!O20</f>
        <v>0</v>
      </c>
      <c r="Q40" s="724">
        <f>tertiair!P20</f>
        <v>0</v>
      </c>
      <c r="R40" s="802">
        <f t="shared" ca="1" si="4"/>
        <v>23713.853682038152</v>
      </c>
    </row>
    <row r="41" spans="1:18">
      <c r="A41" s="774" t="s">
        <v>213</v>
      </c>
      <c r="B41" s="781"/>
      <c r="C41" s="641">
        <f ca="1">huishoudens!B12</f>
        <v>12141.632639324378</v>
      </c>
      <c r="D41" s="641">
        <f ca="1">huishoudens!C12</f>
        <v>0</v>
      </c>
      <c r="E41" s="641">
        <f>huishoudens!D12</f>
        <v>35116.841272224803</v>
      </c>
      <c r="F41" s="641">
        <f>huishoudens!E12</f>
        <v>512.69213564617792</v>
      </c>
      <c r="G41" s="641">
        <f>huishoudens!F12</f>
        <v>11604.973046015426</v>
      </c>
      <c r="H41" s="641">
        <f>huishoudens!G12</f>
        <v>0</v>
      </c>
      <c r="I41" s="641">
        <f>huishoudens!H12</f>
        <v>0</v>
      </c>
      <c r="J41" s="641">
        <f>huishoudens!I12</f>
        <v>0</v>
      </c>
      <c r="K41" s="641">
        <f>huishoudens!J12</f>
        <v>78.733686603762379</v>
      </c>
      <c r="L41" s="641">
        <f>huishoudens!K12</f>
        <v>0</v>
      </c>
      <c r="M41" s="641">
        <f>huishoudens!L12</f>
        <v>0</v>
      </c>
      <c r="N41" s="641">
        <f>huishoudens!M12</f>
        <v>0</v>
      </c>
      <c r="O41" s="641">
        <f>huishoudens!N12</f>
        <v>0</v>
      </c>
      <c r="P41" s="641">
        <f>huishoudens!O12</f>
        <v>0</v>
      </c>
      <c r="Q41" s="724">
        <f>huishoudens!P12</f>
        <v>0</v>
      </c>
      <c r="R41" s="802">
        <f t="shared" ca="1" si="4"/>
        <v>59454.872779814548</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10151.170655569884</v>
      </c>
      <c r="D43" s="641">
        <f ca="1">industrie!C22</f>
        <v>0</v>
      </c>
      <c r="E43" s="641">
        <f>industrie!D22</f>
        <v>19105.28813505673</v>
      </c>
      <c r="F43" s="641">
        <f>industrie!E22</f>
        <v>119.38134019813299</v>
      </c>
      <c r="G43" s="641">
        <f>industrie!F22</f>
        <v>1881.5563166678705</v>
      </c>
      <c r="H43" s="641">
        <f>industrie!G22</f>
        <v>0</v>
      </c>
      <c r="I43" s="641">
        <f>industrie!H22</f>
        <v>0</v>
      </c>
      <c r="J43" s="641">
        <f>industrie!I22</f>
        <v>0</v>
      </c>
      <c r="K43" s="641">
        <f>industrie!J22</f>
        <v>13.10652474444983</v>
      </c>
      <c r="L43" s="641">
        <f>industrie!K22</f>
        <v>0</v>
      </c>
      <c r="M43" s="641">
        <f>industrie!L22</f>
        <v>0</v>
      </c>
      <c r="N43" s="641">
        <f>industrie!M22</f>
        <v>0</v>
      </c>
      <c r="O43" s="641">
        <f>industrie!N22</f>
        <v>0</v>
      </c>
      <c r="P43" s="641">
        <f>industrie!O22</f>
        <v>0</v>
      </c>
      <c r="Q43" s="724">
        <f>industrie!P22</f>
        <v>0</v>
      </c>
      <c r="R43" s="801">
        <f t="shared" ca="1" si="4"/>
        <v>31270.502972237064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32449.010208656073</v>
      </c>
      <c r="D46" s="677">
        <f t="shared" ref="D46:Q46" ca="1" si="5">SUM(D39:D45)</f>
        <v>5.4655255255255248</v>
      </c>
      <c r="E46" s="677">
        <f t="shared" ca="1" si="5"/>
        <v>66219.702759774314</v>
      </c>
      <c r="F46" s="677">
        <f t="shared" si="5"/>
        <v>656.50125359188189</v>
      </c>
      <c r="G46" s="677">
        <f t="shared" ca="1" si="5"/>
        <v>15016.702598675851</v>
      </c>
      <c r="H46" s="677">
        <f t="shared" si="5"/>
        <v>0</v>
      </c>
      <c r="I46" s="677">
        <f t="shared" si="5"/>
        <v>0</v>
      </c>
      <c r="J46" s="677">
        <f t="shared" si="5"/>
        <v>0</v>
      </c>
      <c r="K46" s="677">
        <f t="shared" si="5"/>
        <v>91.847087866115743</v>
      </c>
      <c r="L46" s="677">
        <f t="shared" si="5"/>
        <v>0</v>
      </c>
      <c r="M46" s="677">
        <f t="shared" ca="1" si="5"/>
        <v>0</v>
      </c>
      <c r="N46" s="677">
        <f t="shared" si="5"/>
        <v>0</v>
      </c>
      <c r="O46" s="677">
        <f t="shared" ca="1" si="5"/>
        <v>0</v>
      </c>
      <c r="P46" s="677">
        <f t="shared" si="5"/>
        <v>0</v>
      </c>
      <c r="Q46" s="677">
        <f t="shared" si="5"/>
        <v>0</v>
      </c>
      <c r="R46" s="677">
        <f ca="1">SUM(R39:R45)</f>
        <v>114439.22943408976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10.185973437250787</v>
      </c>
      <c r="D49" s="641">
        <f ca="1">transport!C58</f>
        <v>0</v>
      </c>
      <c r="E49" s="641">
        <f>transport!D58</f>
        <v>0</v>
      </c>
      <c r="F49" s="641">
        <f>transport!E58</f>
        <v>0</v>
      </c>
      <c r="G49" s="641">
        <f>transport!F58</f>
        <v>0</v>
      </c>
      <c r="H49" s="641">
        <f>transport!G58</f>
        <v>918.85112785835281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929.03710129560363</v>
      </c>
    </row>
    <row r="50" spans="1:18">
      <c r="A50" s="777" t="s">
        <v>295</v>
      </c>
      <c r="B50" s="787"/>
      <c r="C50" s="647">
        <f ca="1">transport!B18</f>
        <v>74.296172848709901</v>
      </c>
      <c r="D50" s="647">
        <f>transport!C18</f>
        <v>0</v>
      </c>
      <c r="E50" s="647">
        <f>transport!D18</f>
        <v>108.51087592363322</v>
      </c>
      <c r="F50" s="647">
        <f>transport!E18</f>
        <v>117.96442985215289</v>
      </c>
      <c r="G50" s="647">
        <f>transport!F18</f>
        <v>0</v>
      </c>
      <c r="H50" s="647">
        <f>transport!G18</f>
        <v>72033.184299324057</v>
      </c>
      <c r="I50" s="647">
        <f>transport!H18</f>
        <v>13175.335299334456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85509.291077283007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84.482146285960681</v>
      </c>
      <c r="D52" s="677">
        <f t="shared" ref="D52:Q52" ca="1" si="6">SUM(D48:D51)</f>
        <v>0</v>
      </c>
      <c r="E52" s="677">
        <f t="shared" si="6"/>
        <v>108.51087592363322</v>
      </c>
      <c r="F52" s="677">
        <f t="shared" si="6"/>
        <v>117.96442985215289</v>
      </c>
      <c r="G52" s="677">
        <f t="shared" si="6"/>
        <v>0</v>
      </c>
      <c r="H52" s="677">
        <f t="shared" si="6"/>
        <v>72952.035427182404</v>
      </c>
      <c r="I52" s="677">
        <f t="shared" si="6"/>
        <v>13175.335299334456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86438.328178578609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55.494104118195679</v>
      </c>
      <c r="D54" s="647">
        <f ca="1">+landbouw!C12</f>
        <v>0</v>
      </c>
      <c r="E54" s="647">
        <f>+landbouw!D12</f>
        <v>129.13294751156801</v>
      </c>
      <c r="F54" s="647">
        <f>+landbouw!E12</f>
        <v>2.3865223349410978</v>
      </c>
      <c r="G54" s="647">
        <f>+landbouw!F12</f>
        <v>244.41061024563419</v>
      </c>
      <c r="H54" s="647">
        <f>+landbouw!G12</f>
        <v>0</v>
      </c>
      <c r="I54" s="647">
        <f>+landbouw!H12</f>
        <v>0</v>
      </c>
      <c r="J54" s="647">
        <f>+landbouw!I12</f>
        <v>0</v>
      </c>
      <c r="K54" s="647">
        <f>+landbouw!J12</f>
        <v>26.027769642030151</v>
      </c>
      <c r="L54" s="647">
        <f>+landbouw!K12</f>
        <v>0</v>
      </c>
      <c r="M54" s="647">
        <f>+landbouw!L12</f>
        <v>0</v>
      </c>
      <c r="N54" s="647">
        <f>+landbouw!M12</f>
        <v>0</v>
      </c>
      <c r="O54" s="647">
        <f>+landbouw!N12</f>
        <v>0</v>
      </c>
      <c r="P54" s="647">
        <f>+landbouw!O12</f>
        <v>0</v>
      </c>
      <c r="Q54" s="648">
        <f>+landbouw!P12</f>
        <v>0</v>
      </c>
      <c r="R54" s="676">
        <f ca="1">SUM(C54:Q54)</f>
        <v>457.45195385236912</v>
      </c>
    </row>
    <row r="55" spans="1:18" ht="15" thickBot="1">
      <c r="A55" s="777" t="s">
        <v>683</v>
      </c>
      <c r="B55" s="787"/>
      <c r="C55" s="647">
        <f ca="1">C25*'EF ele_warmte'!B12</f>
        <v>481.3597702536739</v>
      </c>
      <c r="D55" s="647"/>
      <c r="E55" s="647">
        <f>E25*EF_CO2_aardgas</f>
        <v>4172.7332687800008</v>
      </c>
      <c r="F55" s="647"/>
      <c r="G55" s="647"/>
      <c r="H55" s="647"/>
      <c r="I55" s="647"/>
      <c r="J55" s="647"/>
      <c r="K55" s="647"/>
      <c r="L55" s="647"/>
      <c r="M55" s="647"/>
      <c r="N55" s="647"/>
      <c r="O55" s="647"/>
      <c r="P55" s="647"/>
      <c r="Q55" s="648"/>
      <c r="R55" s="676">
        <f ca="1">SUM(C55:Q55)</f>
        <v>4654.0930390336744</v>
      </c>
    </row>
    <row r="56" spans="1:18" ht="15.75" thickBot="1">
      <c r="A56" s="775" t="s">
        <v>684</v>
      </c>
      <c r="B56" s="788"/>
      <c r="C56" s="677">
        <f ca="1">SUM(C54:C55)</f>
        <v>536.85387437186955</v>
      </c>
      <c r="D56" s="677">
        <f t="shared" ref="D56:Q56" ca="1" si="7">SUM(D54:D55)</f>
        <v>0</v>
      </c>
      <c r="E56" s="677">
        <f t="shared" si="7"/>
        <v>4301.8662162915689</v>
      </c>
      <c r="F56" s="677">
        <f t="shared" si="7"/>
        <v>2.3865223349410978</v>
      </c>
      <c r="G56" s="677">
        <f t="shared" si="7"/>
        <v>244.41061024563419</v>
      </c>
      <c r="H56" s="677">
        <f t="shared" si="7"/>
        <v>0</v>
      </c>
      <c r="I56" s="677">
        <f t="shared" si="7"/>
        <v>0</v>
      </c>
      <c r="J56" s="677">
        <f t="shared" si="7"/>
        <v>0</v>
      </c>
      <c r="K56" s="677">
        <f t="shared" si="7"/>
        <v>26.027769642030151</v>
      </c>
      <c r="L56" s="677">
        <f t="shared" si="7"/>
        <v>0</v>
      </c>
      <c r="M56" s="677">
        <f t="shared" si="7"/>
        <v>0</v>
      </c>
      <c r="N56" s="677">
        <f t="shared" si="7"/>
        <v>0</v>
      </c>
      <c r="O56" s="677">
        <f t="shared" si="7"/>
        <v>0</v>
      </c>
      <c r="P56" s="677">
        <f t="shared" si="7"/>
        <v>0</v>
      </c>
      <c r="Q56" s="678">
        <f t="shared" si="7"/>
        <v>0</v>
      </c>
      <c r="R56" s="679">
        <f ca="1">SUM(R54:R55)</f>
        <v>5111.5449928860435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33070.346229313902</v>
      </c>
      <c r="D61" s="685">
        <f t="shared" ref="D61:Q61" ca="1" si="8">D46+D52+D56</f>
        <v>5.4655255255255248</v>
      </c>
      <c r="E61" s="685">
        <f t="shared" ca="1" si="8"/>
        <v>70630.079851989518</v>
      </c>
      <c r="F61" s="685">
        <f t="shared" si="8"/>
        <v>776.85220577897587</v>
      </c>
      <c r="G61" s="685">
        <f t="shared" ca="1" si="8"/>
        <v>15261.113208921484</v>
      </c>
      <c r="H61" s="685">
        <f t="shared" si="8"/>
        <v>72952.035427182404</v>
      </c>
      <c r="I61" s="685">
        <f t="shared" si="8"/>
        <v>13175.335299334456</v>
      </c>
      <c r="J61" s="685">
        <f t="shared" si="8"/>
        <v>0</v>
      </c>
      <c r="K61" s="685">
        <f t="shared" si="8"/>
        <v>117.87485750814589</v>
      </c>
      <c r="L61" s="685">
        <f t="shared" si="8"/>
        <v>0</v>
      </c>
      <c r="M61" s="685">
        <f t="shared" ca="1" si="8"/>
        <v>0</v>
      </c>
      <c r="N61" s="685">
        <f t="shared" si="8"/>
        <v>0</v>
      </c>
      <c r="O61" s="685">
        <f t="shared" ca="1" si="8"/>
        <v>0</v>
      </c>
      <c r="P61" s="685">
        <f t="shared" si="8"/>
        <v>0</v>
      </c>
      <c r="Q61" s="685">
        <f t="shared" si="8"/>
        <v>0</v>
      </c>
      <c r="R61" s="685">
        <f ca="1">R46+R52+R56</f>
        <v>205989.10260555442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0.21444507291631079</v>
      </c>
      <c r="D63" s="731">
        <f t="shared" ca="1" si="9"/>
        <v>0.22444444444444442</v>
      </c>
      <c r="E63" s="927">
        <f t="shared" ca="1" si="9"/>
        <v>0.20199999999999999</v>
      </c>
      <c r="F63" s="731">
        <f t="shared" si="9"/>
        <v>0.22700000000000004</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4574.2870795593162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17</v>
      </c>
      <c r="D76" s="910">
        <f>'lokale energieproductie'!C8</f>
        <v>18.888888888888886</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3.8155555555555551</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4574.2870795593162</v>
      </c>
      <c r="C78" s="703">
        <f>SUM(C72:C77)</f>
        <v>17</v>
      </c>
      <c r="D78" s="704">
        <f t="shared" ref="D78:H78" si="10">SUM(D76:D77)</f>
        <v>18.888888888888886</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3.8155555555555551</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24.351351351351351</v>
      </c>
      <c r="D87" s="727">
        <f>'lokale energieproductie'!C17</f>
        <v>27.057057057057051</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5.4655255255255248</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24.351351351351351</v>
      </c>
      <c r="D90" s="703">
        <f t="shared" ref="D90:H90" si="12">SUM(D87:D89)</f>
        <v>27.057057057057051</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5.4655255255255248</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56618.846375000481</v>
      </c>
      <c r="C4" s="444">
        <f>huishoudens!C8</f>
        <v>0</v>
      </c>
      <c r="D4" s="444">
        <f>huishoudens!D8</f>
        <v>173845.7488724</v>
      </c>
      <c r="E4" s="444">
        <f>huishoudens!E8</f>
        <v>2258.5556636395504</v>
      </c>
      <c r="F4" s="444">
        <f>huishoudens!F8</f>
        <v>43464.318524402341</v>
      </c>
      <c r="G4" s="444">
        <f>huishoudens!G8</f>
        <v>0</v>
      </c>
      <c r="H4" s="444">
        <f>huishoudens!H8</f>
        <v>0</v>
      </c>
      <c r="I4" s="444">
        <f>huishoudens!I8</f>
        <v>0</v>
      </c>
      <c r="J4" s="444">
        <f>huishoudens!J8</f>
        <v>222.41154407842481</v>
      </c>
      <c r="K4" s="444">
        <f>huishoudens!K8</f>
        <v>0</v>
      </c>
      <c r="L4" s="444">
        <f>huishoudens!L8</f>
        <v>0</v>
      </c>
      <c r="M4" s="444">
        <f>huishoudens!M8</f>
        <v>0</v>
      </c>
      <c r="N4" s="444">
        <f>huishoudens!N8</f>
        <v>17080.980519448334</v>
      </c>
      <c r="O4" s="444">
        <f>huishoudens!O8</f>
        <v>371.00018702537494</v>
      </c>
      <c r="P4" s="445">
        <f>huishoudens!P8</f>
        <v>684.70735499952639</v>
      </c>
      <c r="Q4" s="446">
        <f>SUM(B4:P4)</f>
        <v>294546.5690409941</v>
      </c>
    </row>
    <row r="5" spans="1:17">
      <c r="A5" s="443" t="s">
        <v>149</v>
      </c>
      <c r="B5" s="444">
        <f ca="1">tertiair!B16</f>
        <v>45872.447575999999</v>
      </c>
      <c r="C5" s="444">
        <f ca="1">tertiair!C16</f>
        <v>24.351351351351351</v>
      </c>
      <c r="D5" s="444">
        <f ca="1">tertiair!D16</f>
        <v>59393.927487588044</v>
      </c>
      <c r="E5" s="444">
        <f>tertiair!E16</f>
        <v>107.61135571617154</v>
      </c>
      <c r="F5" s="444">
        <f ca="1">tertiair!F16</f>
        <v>5730.9859025938367</v>
      </c>
      <c r="G5" s="444">
        <f>tertiair!G16</f>
        <v>0</v>
      </c>
      <c r="H5" s="444">
        <f>tertiair!H16</f>
        <v>0</v>
      </c>
      <c r="I5" s="444">
        <f>tertiair!I16</f>
        <v>0</v>
      </c>
      <c r="J5" s="444">
        <f>tertiair!J16</f>
        <v>1.942519181791369E-2</v>
      </c>
      <c r="K5" s="444">
        <f>tertiair!K16</f>
        <v>0</v>
      </c>
      <c r="L5" s="444">
        <f ca="1">tertiair!L16</f>
        <v>0</v>
      </c>
      <c r="M5" s="444">
        <f>tertiair!M16</f>
        <v>0</v>
      </c>
      <c r="N5" s="444">
        <f ca="1">tertiair!N16</f>
        <v>773.19884842645979</v>
      </c>
      <c r="O5" s="444">
        <f>tertiair!O16</f>
        <v>4.8972607658411542</v>
      </c>
      <c r="P5" s="445">
        <f>tertiair!P16</f>
        <v>52.539138306495019</v>
      </c>
      <c r="Q5" s="443">
        <f t="shared" ref="Q5:Q14" ca="1" si="0">SUM(B5:P5)</f>
        <v>111959.97834594001</v>
      </c>
    </row>
    <row r="6" spans="1:17">
      <c r="A6" s="443" t="s">
        <v>187</v>
      </c>
      <c r="B6" s="444">
        <f>'openbare verlichting'!B8</f>
        <v>1487.9639999999999</v>
      </c>
      <c r="C6" s="444"/>
      <c r="D6" s="444"/>
      <c r="E6" s="444"/>
      <c r="F6" s="444"/>
      <c r="G6" s="444"/>
      <c r="H6" s="444"/>
      <c r="I6" s="444"/>
      <c r="J6" s="444"/>
      <c r="K6" s="444"/>
      <c r="L6" s="444"/>
      <c r="M6" s="444"/>
      <c r="N6" s="444"/>
      <c r="O6" s="444"/>
      <c r="P6" s="445"/>
      <c r="Q6" s="443">
        <f t="shared" si="0"/>
        <v>1487.9639999999999</v>
      </c>
    </row>
    <row r="7" spans="1:17">
      <c r="A7" s="443" t="s">
        <v>105</v>
      </c>
      <c r="B7" s="444">
        <f>landbouw!B8</f>
        <v>258.78003799999999</v>
      </c>
      <c r="C7" s="444">
        <f>landbouw!C8</f>
        <v>0</v>
      </c>
      <c r="D7" s="444">
        <f>landbouw!D8</f>
        <v>639.27201738400004</v>
      </c>
      <c r="E7" s="444">
        <f>landbouw!E8</f>
        <v>10.513314250841841</v>
      </c>
      <c r="F7" s="444">
        <f>landbouw!F8</f>
        <v>915.39554399113922</v>
      </c>
      <c r="G7" s="444">
        <f>landbouw!G8</f>
        <v>0</v>
      </c>
      <c r="H7" s="444">
        <f>landbouw!H8</f>
        <v>0</v>
      </c>
      <c r="I7" s="444">
        <f>landbouw!I8</f>
        <v>0</v>
      </c>
      <c r="J7" s="444">
        <f>landbouw!J8</f>
        <v>73.524773000085176</v>
      </c>
      <c r="K7" s="444">
        <f>landbouw!K8</f>
        <v>0</v>
      </c>
      <c r="L7" s="444">
        <f>landbouw!L8</f>
        <v>0</v>
      </c>
      <c r="M7" s="444">
        <f>landbouw!M8</f>
        <v>0</v>
      </c>
      <c r="N7" s="444">
        <f>landbouw!N8</f>
        <v>0</v>
      </c>
      <c r="O7" s="444">
        <f>landbouw!O8</f>
        <v>0</v>
      </c>
      <c r="P7" s="445">
        <f>landbouw!P8</f>
        <v>0</v>
      </c>
      <c r="Q7" s="443">
        <f t="shared" si="0"/>
        <v>1897.4856866260661</v>
      </c>
    </row>
    <row r="8" spans="1:17">
      <c r="A8" s="443" t="s">
        <v>587</v>
      </c>
      <c r="B8" s="444">
        <f>industrie!B18</f>
        <v>47336.92650300001</v>
      </c>
      <c r="C8" s="444">
        <f>industrie!C18</f>
        <v>0</v>
      </c>
      <c r="D8" s="444">
        <f>industrie!D18</f>
        <v>94580.634331964</v>
      </c>
      <c r="E8" s="444">
        <f>industrie!E18</f>
        <v>525.90898765697352</v>
      </c>
      <c r="F8" s="444">
        <f>industrie!F18</f>
        <v>7047.0274032504512</v>
      </c>
      <c r="G8" s="444">
        <f>industrie!G18</f>
        <v>0</v>
      </c>
      <c r="H8" s="444">
        <f>industrie!H18</f>
        <v>0</v>
      </c>
      <c r="I8" s="444">
        <f>industrie!I18</f>
        <v>0</v>
      </c>
      <c r="J8" s="444">
        <f>industrie!J18</f>
        <v>37.024081199010823</v>
      </c>
      <c r="K8" s="444">
        <f>industrie!K18</f>
        <v>0</v>
      </c>
      <c r="L8" s="444">
        <f>industrie!L18</f>
        <v>0</v>
      </c>
      <c r="M8" s="444">
        <f>industrie!M18</f>
        <v>0</v>
      </c>
      <c r="N8" s="444">
        <f>industrie!N18</f>
        <v>2353.6575158783721</v>
      </c>
      <c r="O8" s="444">
        <f>industrie!O18</f>
        <v>0</v>
      </c>
      <c r="P8" s="445">
        <f>industrie!P18</f>
        <v>0</v>
      </c>
      <c r="Q8" s="443">
        <f t="shared" si="0"/>
        <v>151881.17882294883</v>
      </c>
    </row>
    <row r="9" spans="1:17" s="449" customFormat="1">
      <c r="A9" s="447" t="s">
        <v>536</v>
      </c>
      <c r="B9" s="448">
        <f>transport!B14</f>
        <v>346.45782175515251</v>
      </c>
      <c r="C9" s="448">
        <f>transport!C14</f>
        <v>0</v>
      </c>
      <c r="D9" s="448">
        <f>transport!D14</f>
        <v>537.18255407739218</v>
      </c>
      <c r="E9" s="448">
        <f>transport!E14</f>
        <v>519.66709185970433</v>
      </c>
      <c r="F9" s="448">
        <f>transport!F14</f>
        <v>0</v>
      </c>
      <c r="G9" s="448">
        <f>transport!G14</f>
        <v>269787.20711357321</v>
      </c>
      <c r="H9" s="448">
        <f>transport!H14</f>
        <v>52912.993170017893</v>
      </c>
      <c r="I9" s="448">
        <f>transport!I14</f>
        <v>0</v>
      </c>
      <c r="J9" s="448">
        <f>transport!J14</f>
        <v>0</v>
      </c>
      <c r="K9" s="448">
        <f>transport!K14</f>
        <v>0</v>
      </c>
      <c r="L9" s="448">
        <f>transport!L14</f>
        <v>0</v>
      </c>
      <c r="M9" s="448">
        <f>transport!M14</f>
        <v>19054.390241842928</v>
      </c>
      <c r="N9" s="448">
        <f>transport!N14</f>
        <v>0</v>
      </c>
      <c r="O9" s="448">
        <f>transport!O14</f>
        <v>0</v>
      </c>
      <c r="P9" s="448">
        <f>transport!P14</f>
        <v>0</v>
      </c>
      <c r="Q9" s="447">
        <f>SUM(B9:P9)</f>
        <v>343157.8979931263</v>
      </c>
    </row>
    <row r="10" spans="1:17">
      <c r="A10" s="443" t="s">
        <v>526</v>
      </c>
      <c r="B10" s="444">
        <f>transport!B54</f>
        <v>47.49921879168545</v>
      </c>
      <c r="C10" s="444">
        <f>transport!C54</f>
        <v>0</v>
      </c>
      <c r="D10" s="444">
        <f>transport!D54</f>
        <v>0</v>
      </c>
      <c r="E10" s="444">
        <f>transport!E54</f>
        <v>0</v>
      </c>
      <c r="F10" s="444">
        <f>transport!F54</f>
        <v>0</v>
      </c>
      <c r="G10" s="444">
        <f>transport!G54</f>
        <v>3441.3899919788491</v>
      </c>
      <c r="H10" s="444">
        <f>transport!H54</f>
        <v>0</v>
      </c>
      <c r="I10" s="444">
        <f>transport!I54</f>
        <v>0</v>
      </c>
      <c r="J10" s="444">
        <f>transport!J54</f>
        <v>0</v>
      </c>
      <c r="K10" s="444">
        <f>transport!K54</f>
        <v>0</v>
      </c>
      <c r="L10" s="444">
        <f>transport!L54</f>
        <v>0</v>
      </c>
      <c r="M10" s="444">
        <f>transport!M54</f>
        <v>194.65526652054209</v>
      </c>
      <c r="N10" s="444">
        <f>transport!N54</f>
        <v>0</v>
      </c>
      <c r="O10" s="444">
        <f>transport!O54</f>
        <v>0</v>
      </c>
      <c r="P10" s="445">
        <f>transport!P54</f>
        <v>0</v>
      </c>
      <c r="Q10" s="443">
        <f t="shared" si="0"/>
        <v>3683.5444772910769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2244.6762880000001</v>
      </c>
      <c r="C14" s="451"/>
      <c r="D14" s="451">
        <f>'SEAP template'!E25</f>
        <v>20657.095390000002</v>
      </c>
      <c r="E14" s="451"/>
      <c r="F14" s="451"/>
      <c r="G14" s="451"/>
      <c r="H14" s="451"/>
      <c r="I14" s="451"/>
      <c r="J14" s="451"/>
      <c r="K14" s="451"/>
      <c r="L14" s="451"/>
      <c r="M14" s="451"/>
      <c r="N14" s="451"/>
      <c r="O14" s="451"/>
      <c r="P14" s="452"/>
      <c r="Q14" s="443">
        <f t="shared" si="0"/>
        <v>22901.771678000001</v>
      </c>
    </row>
    <row r="15" spans="1:17" s="455" customFormat="1">
      <c r="A15" s="453" t="s">
        <v>530</v>
      </c>
      <c r="B15" s="454">
        <f ca="1">SUM(B4:B14)</f>
        <v>154213.59782054729</v>
      </c>
      <c r="C15" s="454">
        <f t="shared" ref="C15:Q15" ca="1" si="1">SUM(C4:C14)</f>
        <v>24.351351351351351</v>
      </c>
      <c r="D15" s="454">
        <f t="shared" ca="1" si="1"/>
        <v>349653.86065341346</v>
      </c>
      <c r="E15" s="454">
        <f t="shared" si="1"/>
        <v>3422.2564131232416</v>
      </c>
      <c r="F15" s="454">
        <f t="shared" ca="1" si="1"/>
        <v>57157.727374237766</v>
      </c>
      <c r="G15" s="454">
        <f t="shared" si="1"/>
        <v>273228.59710555203</v>
      </c>
      <c r="H15" s="454">
        <f t="shared" si="1"/>
        <v>52912.993170017893</v>
      </c>
      <c r="I15" s="454">
        <f t="shared" si="1"/>
        <v>0</v>
      </c>
      <c r="J15" s="454">
        <f t="shared" si="1"/>
        <v>332.97982346933873</v>
      </c>
      <c r="K15" s="454">
        <f t="shared" si="1"/>
        <v>0</v>
      </c>
      <c r="L15" s="454">
        <f t="shared" ca="1" si="1"/>
        <v>0</v>
      </c>
      <c r="M15" s="454">
        <f t="shared" si="1"/>
        <v>19249.04550836347</v>
      </c>
      <c r="N15" s="454">
        <f t="shared" ca="1" si="1"/>
        <v>20207.836883753163</v>
      </c>
      <c r="O15" s="454">
        <f t="shared" si="1"/>
        <v>375.89744779121611</v>
      </c>
      <c r="P15" s="454">
        <f t="shared" si="1"/>
        <v>737.24649330602142</v>
      </c>
      <c r="Q15" s="454">
        <f t="shared" ca="1" si="1"/>
        <v>931516.39004492632</v>
      </c>
    </row>
    <row r="17" spans="1:17">
      <c r="A17" s="456" t="s">
        <v>531</v>
      </c>
      <c r="B17" s="736">
        <f ca="1">huishoudens!B10</f>
        <v>0.21444507291631082</v>
      </c>
      <c r="C17" s="736">
        <f ca="1">huishoudens!C10</f>
        <v>0.22444444444444442</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12141.632639324378</v>
      </c>
      <c r="C22" s="444">
        <f t="shared" ref="C22:C32" ca="1" si="3">C4*$C$17</f>
        <v>0</v>
      </c>
      <c r="D22" s="444">
        <f t="shared" ref="D22:D32" si="4">D4*$D$17</f>
        <v>35116.841272224803</v>
      </c>
      <c r="E22" s="444">
        <f t="shared" ref="E22:E32" si="5">E4*$E$17</f>
        <v>512.69213564617792</v>
      </c>
      <c r="F22" s="444">
        <f t="shared" ref="F22:F32" si="6">F4*$F$17</f>
        <v>11604.973046015426</v>
      </c>
      <c r="G22" s="444">
        <f t="shared" ref="G22:G32" si="7">G4*$G$17</f>
        <v>0</v>
      </c>
      <c r="H22" s="444">
        <f t="shared" ref="H22:H32" si="8">H4*$H$17</f>
        <v>0</v>
      </c>
      <c r="I22" s="444">
        <f t="shared" ref="I22:I32" si="9">I4*$I$17</f>
        <v>0</v>
      </c>
      <c r="J22" s="444">
        <f t="shared" ref="J22:J32" si="10">J4*$J$17</f>
        <v>78.733686603762379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59454.872779814548</v>
      </c>
    </row>
    <row r="23" spans="1:17">
      <c r="A23" s="443" t="s">
        <v>149</v>
      </c>
      <c r="B23" s="444">
        <f t="shared" ca="1" si="2"/>
        <v>9837.1203652849654</v>
      </c>
      <c r="C23" s="444">
        <f t="shared" ca="1" si="3"/>
        <v>5.4655255255255248</v>
      </c>
      <c r="D23" s="444">
        <f t="shared" ca="1" si="4"/>
        <v>11997.573352492785</v>
      </c>
      <c r="E23" s="444">
        <f t="shared" si="5"/>
        <v>24.427777747570943</v>
      </c>
      <c r="F23" s="444">
        <f t="shared" ca="1" si="6"/>
        <v>1530.1732359925545</v>
      </c>
      <c r="G23" s="444">
        <f t="shared" si="7"/>
        <v>0</v>
      </c>
      <c r="H23" s="444">
        <f t="shared" si="8"/>
        <v>0</v>
      </c>
      <c r="I23" s="444">
        <f t="shared" si="9"/>
        <v>0</v>
      </c>
      <c r="J23" s="444">
        <f t="shared" si="10"/>
        <v>6.876517903541446E-3</v>
      </c>
      <c r="K23" s="444">
        <f t="shared" si="11"/>
        <v>0</v>
      </c>
      <c r="L23" s="444">
        <f t="shared" ca="1" si="12"/>
        <v>0</v>
      </c>
      <c r="M23" s="444">
        <f t="shared" si="13"/>
        <v>0</v>
      </c>
      <c r="N23" s="444">
        <f t="shared" ca="1" si="14"/>
        <v>0</v>
      </c>
      <c r="O23" s="444">
        <f t="shared" si="15"/>
        <v>0</v>
      </c>
      <c r="P23" s="445">
        <f t="shared" si="16"/>
        <v>0</v>
      </c>
      <c r="Q23" s="443">
        <f t="shared" ref="Q23:Q31" ca="1" si="17">SUM(B23:P23)</f>
        <v>23394.767133561309</v>
      </c>
    </row>
    <row r="24" spans="1:17">
      <c r="A24" s="443" t="s">
        <v>187</v>
      </c>
      <c r="B24" s="444">
        <f t="shared" ca="1" si="2"/>
        <v>319.08654847684551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319.08654847684551</v>
      </c>
    </row>
    <row r="25" spans="1:17">
      <c r="A25" s="443" t="s">
        <v>105</v>
      </c>
      <c r="B25" s="444">
        <f t="shared" ca="1" si="2"/>
        <v>55.494104118195679</v>
      </c>
      <c r="C25" s="444">
        <f t="shared" ca="1" si="3"/>
        <v>0</v>
      </c>
      <c r="D25" s="444">
        <f t="shared" si="4"/>
        <v>129.13294751156801</v>
      </c>
      <c r="E25" s="444">
        <f t="shared" si="5"/>
        <v>2.3865223349410978</v>
      </c>
      <c r="F25" s="444">
        <f t="shared" si="6"/>
        <v>244.41061024563419</v>
      </c>
      <c r="G25" s="444">
        <f t="shared" si="7"/>
        <v>0</v>
      </c>
      <c r="H25" s="444">
        <f t="shared" si="8"/>
        <v>0</v>
      </c>
      <c r="I25" s="444">
        <f t="shared" si="9"/>
        <v>0</v>
      </c>
      <c r="J25" s="444">
        <f t="shared" si="10"/>
        <v>26.027769642030151</v>
      </c>
      <c r="K25" s="444">
        <f t="shared" si="11"/>
        <v>0</v>
      </c>
      <c r="L25" s="444">
        <f t="shared" si="12"/>
        <v>0</v>
      </c>
      <c r="M25" s="444">
        <f t="shared" si="13"/>
        <v>0</v>
      </c>
      <c r="N25" s="444">
        <f t="shared" si="14"/>
        <v>0</v>
      </c>
      <c r="O25" s="444">
        <f t="shared" si="15"/>
        <v>0</v>
      </c>
      <c r="P25" s="445">
        <f t="shared" si="16"/>
        <v>0</v>
      </c>
      <c r="Q25" s="443">
        <f t="shared" ca="1" si="17"/>
        <v>457.45195385236912</v>
      </c>
    </row>
    <row r="26" spans="1:17">
      <c r="A26" s="443" t="s">
        <v>587</v>
      </c>
      <c r="B26" s="444">
        <f t="shared" ca="1" si="2"/>
        <v>10151.170655569884</v>
      </c>
      <c r="C26" s="444">
        <f t="shared" ca="1" si="3"/>
        <v>0</v>
      </c>
      <c r="D26" s="444">
        <f t="shared" si="4"/>
        <v>19105.28813505673</v>
      </c>
      <c r="E26" s="444">
        <f t="shared" si="5"/>
        <v>119.38134019813299</v>
      </c>
      <c r="F26" s="444">
        <f t="shared" si="6"/>
        <v>1881.5563166678705</v>
      </c>
      <c r="G26" s="444">
        <f t="shared" si="7"/>
        <v>0</v>
      </c>
      <c r="H26" s="444">
        <f t="shared" si="8"/>
        <v>0</v>
      </c>
      <c r="I26" s="444">
        <f t="shared" si="9"/>
        <v>0</v>
      </c>
      <c r="J26" s="444">
        <f t="shared" si="10"/>
        <v>13.10652474444983</v>
      </c>
      <c r="K26" s="444">
        <f t="shared" si="11"/>
        <v>0</v>
      </c>
      <c r="L26" s="444">
        <f t="shared" si="12"/>
        <v>0</v>
      </c>
      <c r="M26" s="444">
        <f t="shared" si="13"/>
        <v>0</v>
      </c>
      <c r="N26" s="444">
        <f t="shared" si="14"/>
        <v>0</v>
      </c>
      <c r="O26" s="444">
        <f t="shared" si="15"/>
        <v>0</v>
      </c>
      <c r="P26" s="445">
        <f t="shared" si="16"/>
        <v>0</v>
      </c>
      <c r="Q26" s="443">
        <f t="shared" ca="1" si="17"/>
        <v>31270.502972237064</v>
      </c>
    </row>
    <row r="27" spans="1:17" s="449" customFormat="1">
      <c r="A27" s="447" t="s">
        <v>536</v>
      </c>
      <c r="B27" s="730">
        <f t="shared" ca="1" si="2"/>
        <v>74.296172848709901</v>
      </c>
      <c r="C27" s="448">
        <f t="shared" ca="1" si="3"/>
        <v>0</v>
      </c>
      <c r="D27" s="448">
        <f t="shared" si="4"/>
        <v>108.51087592363322</v>
      </c>
      <c r="E27" s="448">
        <f t="shared" si="5"/>
        <v>117.96442985215289</v>
      </c>
      <c r="F27" s="448">
        <f t="shared" si="6"/>
        <v>0</v>
      </c>
      <c r="G27" s="448">
        <f t="shared" si="7"/>
        <v>72033.184299324057</v>
      </c>
      <c r="H27" s="448">
        <f t="shared" si="8"/>
        <v>13175.335299334456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85509.291077283007</v>
      </c>
    </row>
    <row r="28" spans="1:17" ht="16.5" customHeight="1">
      <c r="A28" s="443" t="s">
        <v>526</v>
      </c>
      <c r="B28" s="444">
        <f t="shared" ca="1" si="2"/>
        <v>10.185973437250787</v>
      </c>
      <c r="C28" s="444">
        <f t="shared" ca="1" si="3"/>
        <v>0</v>
      </c>
      <c r="D28" s="444">
        <f t="shared" si="4"/>
        <v>0</v>
      </c>
      <c r="E28" s="444">
        <f t="shared" si="5"/>
        <v>0</v>
      </c>
      <c r="F28" s="444">
        <f t="shared" si="6"/>
        <v>0</v>
      </c>
      <c r="G28" s="444">
        <f t="shared" si="7"/>
        <v>918.85112785835281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929.03710129560363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481.3597702536739</v>
      </c>
      <c r="C32" s="444">
        <f t="shared" ca="1" si="3"/>
        <v>0</v>
      </c>
      <c r="D32" s="444">
        <f t="shared" si="4"/>
        <v>4172.7332687800008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4654.0930390336744</v>
      </c>
    </row>
    <row r="33" spans="1:17" s="455" customFormat="1">
      <c r="A33" s="453" t="s">
        <v>530</v>
      </c>
      <c r="B33" s="454">
        <f ca="1">SUM(B22:B32)</f>
        <v>33070.346229313902</v>
      </c>
      <c r="C33" s="454">
        <f t="shared" ref="C33:Q33" ca="1" si="19">SUM(C22:C32)</f>
        <v>5.4655255255255248</v>
      </c>
      <c r="D33" s="454">
        <f t="shared" ca="1" si="19"/>
        <v>70630.079851989518</v>
      </c>
      <c r="E33" s="454">
        <f t="shared" si="19"/>
        <v>776.85220577897587</v>
      </c>
      <c r="F33" s="454">
        <f t="shared" ca="1" si="19"/>
        <v>15261.113208921484</v>
      </c>
      <c r="G33" s="454">
        <f t="shared" si="19"/>
        <v>72952.035427182404</v>
      </c>
      <c r="H33" s="454">
        <f t="shared" si="19"/>
        <v>13175.335299334456</v>
      </c>
      <c r="I33" s="454">
        <f t="shared" si="19"/>
        <v>0</v>
      </c>
      <c r="J33" s="454">
        <f t="shared" si="19"/>
        <v>117.87485750814589</v>
      </c>
      <c r="K33" s="454">
        <f t="shared" si="19"/>
        <v>0</v>
      </c>
      <c r="L33" s="454">
        <f t="shared" ca="1" si="19"/>
        <v>0</v>
      </c>
      <c r="M33" s="454">
        <f t="shared" si="19"/>
        <v>0</v>
      </c>
      <c r="N33" s="454">
        <f t="shared" ca="1" si="19"/>
        <v>0</v>
      </c>
      <c r="O33" s="454">
        <f t="shared" si="19"/>
        <v>0</v>
      </c>
      <c r="P33" s="454">
        <f t="shared" si="19"/>
        <v>0</v>
      </c>
      <c r="Q33" s="454">
        <f t="shared" ca="1" si="19"/>
        <v>205989.10260555442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4574.2870795593162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17</v>
      </c>
      <c r="D8" s="979">
        <f>'SEAP template'!D76</f>
        <v>18.888888888888886</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3.8155555555555551</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4574.2870795593162</v>
      </c>
      <c r="C10" s="981">
        <f>SUM(C4:C9)</f>
        <v>17</v>
      </c>
      <c r="D10" s="981">
        <f t="shared" ref="D10:H10" si="0">SUM(D8:D9)</f>
        <v>18.888888888888886</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3.8155555555555551</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0.21444507291631082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24.351351351351351</v>
      </c>
      <c r="D17" s="980">
        <f>'SEAP template'!D87</f>
        <v>27.057057057057051</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5.4655255255255248</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24.351351351351351</v>
      </c>
      <c r="D20" s="981">
        <f t="shared" ref="D20:H20" si="2">SUM(D17:D19)</f>
        <v>27.057057057057051</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5.4655255255255248</v>
      </c>
    </row>
    <row r="21" spans="1:16">
      <c r="B21" s="840"/>
    </row>
    <row r="22" spans="1:16">
      <c r="A22" s="456" t="s">
        <v>754</v>
      </c>
      <c r="B22" s="736" t="s">
        <v>752</v>
      </c>
      <c r="C22" s="736">
        <f ca="1">'EF ele_warmte'!B22</f>
        <v>0.22444444444444442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0.21444507291631082</v>
      </c>
      <c r="C17" s="492">
        <f ca="1">'EF ele_warmte'!B22</f>
        <v>0.22444444444444442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3</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14.691782297523464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1</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52.539138306495019</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2022-07-26T10:05:21Z</dcterms:modified>
</cp:coreProperties>
</file>