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3F118192-3ED6-4ABA-B99B-11ABC755661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<sst xmlns="http://schemas.openxmlformats.org/spreadsheetml/2006/main" count="2441" uniqueCount="908">
  <si>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</si>
  <si>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</si>
  <si>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</si>
  <si>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</si>
  <si>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</si>
  <si>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</si>
  <si>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</si>
  <si>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</si>
  <si>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</si>
  <si>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</si>
  <si>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</si>
  <si>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</si>
  <si>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</si>
  <si>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</si>
  <si>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</si>
  <si>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</si>
  <si>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</si>
  <si>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</si>
  <si>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</si>
  <si>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</si>
  <si>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</si>
  <si>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</si>
  <si>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</si>
  <si>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</si>
  <si>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</si>
  <si>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</si>
  <si>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</si>
  <si>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</si>
  <si>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</si>
  <si>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</si>
  <si>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</si>
  <si>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</si>
  <si>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</si>
  <si>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</si>
  <si>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</si>
  <si>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</si>
  <si>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</si>
  <si>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</si>
  <si>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</si>
  <si>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</si>
  <si>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</si>
  <si>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</si>
  <si>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</si>
  <si>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</si>
  <si>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</si>
  <si>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</si>
  <si>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</si>
  <si>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</si>
  <si>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</si>
  <si>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</si>
  <si>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</si>
  <si>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</si>
  <si>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</si>
  <si>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</si>
  <si>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</si>
  <si>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</si>
  <si>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</si>
  <si>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</si>
  <si>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</si>
  <si>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</si>
  <si>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</si>
  <si>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</si>
  <si>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</si>
  <si>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</si>
  <si>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</si>
  <si>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</si>
  <si>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</si>
  <si>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</si>
  <si>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</si>
  <si>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</si>
  <si>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</si>
  <si>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</si>
  <si>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</si>
  <si>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</si>
  <si>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</si>
  <si>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</si>
  <si>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</si>
  <si>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</si>
  <si>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</si>
  <si>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</si>
  <si>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</si>
  <si>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</si>
  <si>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</si>
  <si>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</si>
  <si>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</si>
  <si>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</si>
  <si>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</si>
  <si>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</si>
  <si>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</si>
  <si>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</si>
  <si>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</si>
  <si>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</si>
  <si>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</si>
  <si>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</si>
  <si>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</si>
  <si>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</si>
  <si>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</si>
  <si>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</si>
  <si>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</si>
  <si>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</si>
  <si>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</si>
  <si>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</si>
  <si>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</si>
  <si>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</si>
  <si>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</si>
  <si>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</si>
  <si>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</si>
  <si>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</si>
  <si>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</si>
  <si>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</si>
  <si>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</si>
  <si>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</si>
  <si>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</si>
  <si>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</si>
  <si>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</si>
  <si>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</si>
  <si>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</si>
  <si>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</si>
  <si>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</si>
  <si>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</si>
  <si>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</si>
  <si>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</si>
  <si>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</si>
  <si>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</si>
  <si>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</si>
  <si>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</si>
  <si>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</si>
  <si>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</si>
  <si>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</si>
  <si>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</si>
  <si>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</si>
  <si>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</si>
  <si>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</si>
  <si>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</si>
  <si>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</si>
  <si>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</si>
  <si>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</si>
  <si>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</si>
  <si>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</si>
  <si>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</si>
  <si>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</si>
  <si>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</si>
  <si>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</si>
  <si>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</si>
  <si>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</si>
  <si>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</si>
  <si>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</si>
  <si>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</si>
  <si>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</si>
  <si>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</si>
  <si>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</si>
  <si>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</si>
  <si>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</si>
  <si>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</si>
  <si>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</si>
  <si>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</si>
  <si>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</si>
  <si>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</si>
  <si>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</si>
  <si>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</si>
  <si>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</si>
  <si>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</si>
  <si>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</si>
  <si>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</si>
  <si>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</si>
  <si>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</si>
  <si>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</si>
  <si>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</si>
  <si>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</si>
  <si>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</si>
  <si>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</si>
  <si>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</si>
  <si>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</si>
  <si>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</si>
  <si>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</si>
  <si>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</si>
  <si>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</si>
  <si>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</si>
  <si>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</si>
  <si>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</si>
  <si>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</si>
  <si>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</si>
  <si>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</si>
  <si>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</si>
  <si>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</si>
  <si>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</si>
  <si>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</si>
  <si>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</si>
  <si>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</si>
  <si>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</si>
  <si>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</si>
  <si>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</si>
  <si>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</si>
  <si>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</si>
  <si>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</si>
  <si>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</si>
  <si>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</si>
  <si>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</si>
  <si>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</si>
  <si>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</si>
  <si>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</si>
  <si>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</si>
  <si>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</si>
  <si>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</si>
  <si>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</si>
  <si>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</si>
  <si>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</si>
  <si>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</si>
  <si>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</si>
  <si>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</si>
  <si>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</si>
  <si>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</si>
  <si>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</si>
  <si>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</si>
  <si>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</si>
  <si>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</si>
  <si>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</si>
  <si>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</si>
  <si>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</si>
  <si>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</si>
  <si>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</si>
  <si>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</si>
  <si>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</si>
  <si>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</si>
  <si>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</si>
  <si>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</si>
  <si>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</si>
  <si>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</si>
  <si>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</si>
  <si>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</si>
  <si>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</si>
  <si>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</si>
  <si>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</si>
  <si>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</si>
  <si>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</si>
  <si>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</si>
  <si>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</si>
  <si>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</si>
  <si>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</si>
  <si>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</si>
  <si>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</si>
  <si>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</si>
  <si>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</si>
  <si>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</si>
  <si>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</si>
  <si>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</si>
  <si>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</si>
  <si>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</si>
  <si>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</si>
  <si>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</si>
  <si>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</si>
  <si>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</si>
  <si>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</si>
  <si>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</si>
  <si>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</si>
  <si>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</si>
  <si>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</si>
  <si>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</si>
  <si>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</si>
  <si>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</si>
  <si>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</si>
  <si>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</si>
  <si>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</si>
  <si>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</si>
  <si>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</si>
  <si>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</si>
  <si>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</si>
  <si>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</si>
  <si>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</si>
  <si>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</si>
  <si>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</si>
  <si>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</si>
  <si>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</si>
  <si>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</si>
  <si>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</si>
  <si>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</si>
  <si>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</si>
  <si>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</si>
  <si>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</si>
  <si>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</si>
  <si>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</si>
  <si>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</si>
  <si>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</si>
  <si>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</si>
  <si>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</si>
  <si>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</si>
  <si>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</si>
  <si>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</si>
  <si>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</si>
  <si>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</si>
  <si>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</si>
  <si>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</si>
  <si>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</si>
  <si>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</si>
  <si>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</si>
  <si>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</si>
  <si>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</si>
  <si>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</si>
  <si>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</si>
  <si>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</si>
  <si>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</si>
  <si>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</si>
  <si>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</si>
  <si>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</si>
  <si>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</si>
  <si>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</si>
  <si>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</si>
  <si>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</si>
  <si>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</si>
  <si>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</si>
  <si>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</si>
  <si>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</si>
  <si>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</si>
  <si>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</si>
  <si>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</si>
  <si>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</si>
  <si>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</si>
  <si>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</si>
  <si>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</si>
  <si>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</si>
  <si>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</si>
  <si>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</si>
  <si>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</si>
  <si>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</si>
  <si>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</si>
  <si>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</si>
  <si>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</si>
  <si>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</si>
  <si>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</si>
  <si>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</si>
  <si>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</si>
  <si>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</si>
  <si>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</si>
  <si>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</si>
  <si>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</si>
  <si>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</si>
  <si>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</si>
  <si>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</si>
  <si>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</si>
  <si>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</si>
  <si>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</si>
  <si>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</si>
  <si>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</si>
  <si>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</si>
  <si>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</si>
  <si>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</si>
  <si>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</si>
  <si>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</si>
  <si>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</si>
  <si>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</si>
  <si>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</si>
  <si>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</si>
  <si>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</si>
  <si>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</si>
  <si>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</si>
  <si>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</si>
  <si>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</si>
  <si>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</si>
  <si>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</si>
  <si>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</si>
  <si>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</si>
  <si>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</si>
  <si>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</si>
  <si>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</si>
  <si>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</si>
  <si>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</si>
  <si>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</si>
  <si>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</si>
  <si>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</si>
  <si>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</si>
  <si>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</si>
  <si>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</si>
  <si>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</si>
  <si>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</si>
  <si>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</si>
  <si>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</si>
  <si>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</si>
  <si>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</si>
  <si>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</si>
  <si>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</si>
  <si>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</si>
  <si>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</si>
  <si>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</si>
  <si>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</si>
  <si>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</si>
  <si>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</si>
  <si>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</si>
  <si>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</si>
  <si>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</si>
  <si>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</si>
  <si>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</si>
  <si>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</si>
  <si>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</si>
  <si>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</si>
  <si>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</si>
  <si>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</si>
  <si>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</si>
  <si>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</si>
  <si>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</si>
  <si>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</si>
  <si>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</si>
  <si>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</si>
  <si>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</si>
  <si>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</si>
  <si>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</si>
  <si>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</si>
  <si>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</si>
  <si>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</si>
  <si>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</si>
  <si>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</si>
  <si>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</si>
  <si>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</si>
  <si>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</si>
  <si>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</si>
  <si>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</si>
  <si>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</si>
  <si>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</si>
  <si>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</si>
  <si>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</si>
  <si>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</si>
  <si>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</si>
  <si>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</si>
  <si>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</si>
  <si>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</si>
  <si>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</si>
  <si>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</si>
  <si>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</si>
  <si>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</si>
  <si>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</si>
  <si>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</si>
  <si>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</si>
  <si>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</si>
  <si>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</si>
  <si>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</si>
  <si>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</si>
  <si>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</si>
  <si>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</si>
  <si>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</si>
  <si>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</si>
  <si>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</si>
  <si>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</si>
  <si>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</si>
  <si>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</si>
  <si>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</si>
  <si>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</si>
  <si>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</si>
  <si>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</si>
  <si>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</si>
  <si>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</si>
  <si>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</si>
  <si>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</si>
  <si>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</si>
  <si>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</si>
  <si>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</si>
  <si>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</si>
  <si>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</si>
  <si>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</si>
  <si>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</si>
  <si>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</si>
  <si>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</si>
  <si>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</si>
  <si>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</si>
  <si>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</si>
  <si>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</si>
  <si>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</si>
  <si>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</si>
  <si>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</si>
  <si>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</si>
  <si>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</si>
  <si>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</si>
  <si>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</si>
  <si>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</si>
  <si>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</si>
  <si>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</si>
  <si>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</si>
  <si>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</si>
  <si>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</si>
  <si>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</si>
  <si>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</si>
  <si>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</si>
  <si>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</si>
  <si>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</si>
  <si>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</si>
  <si>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</si>
  <si>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</si>
  <si>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</si>
  <si>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</si>
  <si>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</si>
  <si>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</si>
  <si>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</si>
  <si>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</si>
  <si>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</si>
  <si>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</si>
  <si>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</si>
  <si>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</si>
  <si>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</si>
  <si>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</si>
  <si>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</si>
  <si>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</si>
  <si>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</si>
  <si>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</si>
  <si>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</si>
  <si>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</si>
  <si>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</si>
  <si>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</si>
  <si>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</si>
  <si>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</si>
  <si>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</si>
  <si>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</si>
  <si>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</si>
  <si>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</si>
  <si>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</si>
  <si>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</si>
  <si>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</si>
  <si>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</si>
  <si>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</si>
  <si>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</si>
  <si>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</si>
  <si>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</si>
  <si>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</si>
  <si>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</si>
  <si>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</si>
  <si>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</si>
  <si>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</si>
  <si>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</si>
  <si>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</si>
  <si>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</si>
  <si>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</si>
  <si>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</si>
  <si>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</si>
  <si>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</si>
  <si>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</si>
  <si>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</si>
  <si>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</si>
  <si>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</si>
  <si>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</si>
  <si>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</si>
  <si>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</si>
  <si>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</si>
  <si>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</si>
  <si>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</si>
  <si>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</si>
  <si>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</si>
  <si>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</si>
  <si>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</si>
  <si>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</si>
  <si>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</si>
  <si>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</si>
  <si>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</si>
  <si>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</si>
  <si>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</si>
  <si>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</si>
  <si>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</si>
  <si>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</si>
  <si>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</si>
  <si>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</si>
  <si>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</si>
  <si>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</si>
  <si>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</si>
  <si>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</si>
  <si>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</si>
  <si>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</si>
  <si>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</si>
  <si>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</si>
  <si>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</si>
  <si>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</si>
  <si>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</si>
  <si>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</si>
  <si>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</si>
  <si>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</si>
  <si>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</si>
  <si>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</si>
  <si>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</si>
  <si>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</si>
  <si>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</si>
  <si>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</si>
  <si>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</si>
  <si>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</si>
  <si>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</si>
  <si>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</si>
  <si>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</si>
  <si>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</si>
  <si>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</si>
  <si>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</si>
  <si>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</si>
  <si>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</si>
  <si>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</si>
  <si>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</si>
  <si>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</si>
  <si>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</si>
  <si>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</si>
  <si>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</si>
  <si>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</si>
  <si>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</si>
  <si>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</si>
  <si>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</si>
  <si>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</si>
  <si>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</si>
  <si>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</si>
  <si>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</si>
  <si>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</si>
  <si>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</si>
  <si>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</si>
  <si>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</si>
  <si>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</si>
  <si>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</si>
  <si>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</si>
  <si>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</si>
  <si>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</si>
  <si>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</si>
  <si>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</si>
  <si>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</si>
  <si>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</si>
  <si>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</si>
  <si>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</si>
  <si>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</si>
  <si>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</si>
  <si>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</si>
  <si>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</si>
  <si>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</si>
  <si>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</si>
  <si>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</si>
  <si>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</si>
  <si>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</si>
  <si>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</si>
  <si>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</si>
  <si>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</si>
  <si>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</si>
  <si>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</si>
  <si>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</si>
  <si>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</si>
  <si>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</si>
  <si>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</si>
  <si>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</si>
  <si>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</si>
  <si>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</si>
  <si>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</si>
  <si>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</si>
  <si>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</si>
  <si>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</si>
  <si>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</si>
  <si>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</si>
  <si>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</si>
  <si>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</si>
  <si>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</si>
  <si>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</si>
  <si>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</si>
  <si>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</si>
  <si>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</si>
  <si>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</si>
  <si>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</si>
  <si>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</si>
  <si>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</si>
  <si>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</si>
  <si>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</si>
  <si>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</si>
  <si>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</si>
  <si>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</si>
  <si>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</si>
  <si>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</si>
  <si>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</si>
  <si>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</si>
  <si>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</si>
  <si>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</si>
  <si>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</si>
  <si>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</si>
  <si>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</si>
  <si>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</si>
  <si>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</si>
  <si>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</si>
  <si>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</si>
  <si>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</si>
  <si>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</si>
  <si>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</si>
  <si>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</si>
  <si>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</si>
  <si>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</si>
  <si>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</si>
  <si>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</si>
  <si>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</si>
  <si>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</si>
  <si>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</si>
  <si>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</si>
  <si>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</si>
  <si>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</si>
  <si>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</si>
  <si>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</si>
  <si>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</si>
  <si>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</si>
  <si>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</si>
  <si>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</si>
  <si>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</si>
  <si>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</si>
  <si>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</si>
  <si>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</si>
  <si>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</si>
  <si>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</si>
  <si>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</si>
  <si>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</si>
  <si>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</si>
  <si>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</si>
  <si>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</si>
  <si>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</si>
  <si>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</si>
  <si>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</si>
  <si>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</si>
  <si>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</si>
  <si>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</si>
  <si>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</si>
  <si>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</si>
  <si>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</si>
  <si>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</si>
  <si>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</si>
  <si>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</si>
  <si>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</si>
  <si>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</si>
  <si>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</si>
  <si>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</si>
  <si>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</si>
  <si>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</si>
  <si>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</si>
  <si>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</si>
  <si>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</si>
  <si>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</si>
  <si>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</si>
  <si>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</si>
  <si>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</si>
  <si>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</si>
  <si>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</si>
  <si>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</si>
  <si>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</si>
  <si>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</si>
  <si>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</si>
  <si>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</si>
  <si>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</si>
  <si>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</si>
  <si>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</si>
  <si>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</si>
  <si>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</si>
  <si>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</si>
  <si>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</si>
  <si>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</si>
  <si>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</si>
  <si>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</si>
  <si>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</si>
  <si>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</si>
  <si>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</si>
  <si>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</si>
  <si>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</si>
  <si>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</si>
  <si>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</si>
  <si>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</si>
  <si>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</si>
  <si>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</si>
  <si>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</si>
  <si>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</si>
  <si>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</si>
  <si>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</si>
  <si>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</si>
  <si>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</si>
  <si>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</si>
  <si>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</si>
  <si>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</si>
  <si>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</si>
  <si>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</si>
  <si>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</si>
  <si>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</si>
  <si>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</si>
  <si>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</si>
  <si>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</si>
  <si>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</si>
  <si>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</si>
  <si>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</si>
  <si>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</si>
  <si>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</si>
  <si>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</si>
  <si>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</si>
  <si>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</si>
  <si>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</si>
  <si>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</si>
  <si>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</si>
  <si>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</si>
  <si>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</si>
  <si>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</si>
  <si>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</si>
  <si>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</si>
  <si>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</si>
  <si>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</si>
  <si>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</si>
  <si>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</si>
  <si>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</si>
  <si>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</si>
  <si>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</si>
  <si>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</si>
  <si>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</si>
  <si>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</si>
  <si>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</si>
  <si>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</si>
  <si>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</si>
  <si>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</si>
  <si>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</si>
  <si>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</si>
  <si>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</si>
  <si>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</si>
  <si>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</si>
  <si>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</si>
  <si>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</si>
  <si>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</si>
  <si>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</si>
  <si>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</si>
  <si>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</si>
  <si>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</si>
  <si>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</si>
  <si>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</si>
  <si>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</si>
  <si>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</si>
  <si>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</si>
  <si>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</si>
  <si>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</si>
  <si>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</si>
  <si>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</si>
  <si>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</si>
  <si>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</si>
  <si>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</si>
  <si>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</si>
  <si>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</si>
  <si>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</si>
  <si>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</si>
  <si>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</si>
  <si>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</si>
  <si>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</si>
  <si>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</si>
  <si>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</si>
  <si>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</si>
  <si>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</si>
  <si>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</si>
  <si>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</si>
  <si>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</si>
  <si>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</si>
  <si>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</si>
  <si>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</si>
  <si>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</si>
  <si>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</si>
  <si>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</si>
  <si>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</si>
  <si>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</si>
  <si>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</si>
  <si>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</si>
  <si>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</si>
  <si>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</si>
  <si>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</si>
  <si>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</si>
  <si>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</si>
  <si>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</si>
  <si>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</si>
  <si>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</si>
  <si>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</si>
  <si>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</si>
  <si>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</si>
  <si>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</si>
  <si>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</si>
  <si>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</si>
  <si>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</si>
  <si>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</si>
  <si>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</si>
  <si>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</si>
  <si>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</si>
  <si>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</si>
  <si>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</si>
  <si>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</si>
  <si>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</si>
  <si>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</si>
  <si>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</si>
  <si>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</si>
  <si>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</si>
  <si>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</si>
  <si>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</si>
  <si>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</si>
  <si>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</si>
  <si>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</si>
  <si>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</si>
  <si>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</si>
  <si>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</si>
  <si>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</si>
  <si>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</si>
  <si>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</si>
  <si>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</si>
  <si>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</si>
  <si>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</si>
  <si>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</si>
  <si>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</si>
  <si>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</si>
  <si>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</si>
  <si>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</si>
  <si>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</si>
  <si>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</si>
  <si>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</si>
  <si>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</si>
  <si>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</si>
  <si>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</si>
  <si>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</si>
  <si>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</si>
  <si>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11044</t>
  </si>
  <si>
    <t>STABROEK</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</si>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</sst>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EE7E3818-AA20-418C-8D6A-F7166BCE1069}"/>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170209.90111530889</c:v>
                </c:pt>
                <c:pt idx="1">
                  <c:v>28814.487534871751</c:v>
                </c:pt>
                <c:pt idx="2">
                  <c:v>826.154</c:v>
                </c:pt>
                <c:pt idx="3">
                  <c:v>1661.3666468728982</c:v>
                </c:pt>
                <c:pt idx="4">
                  <c:v>36782.886052533286</c:v>
                </c:pt>
                <c:pt idx="5">
                  <c:v>121045.5776647758</c:v>
                </c:pt>
                <c:pt idx="6">
                  <c:v>1737.6733594784398</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170209.90111530889</c:v>
                </c:pt>
                <c:pt idx="1">
                  <c:v>28814.487534871751</c:v>
                </c:pt>
                <c:pt idx="2">
                  <c:v>826.154</c:v>
                </c:pt>
                <c:pt idx="3">
                  <c:v>1661.3666468728982</c:v>
                </c:pt>
                <c:pt idx="4">
                  <c:v>36782.886052533286</c:v>
                </c:pt>
                <c:pt idx="5">
                  <c:v>121045.5776647758</c:v>
                </c:pt>
                <c:pt idx="6">
                  <c:v>1737.6733594784398</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33815.604271727592</c:v>
                </c:pt>
                <c:pt idx="2">
                  <c:v>5805.9582180439365</c:v>
                </c:pt>
                <c:pt idx="3">
                  <c:v>170.78969081027176</c:v>
                </c:pt>
                <c:pt idx="4">
                  <c:v>419.46866777684335</c:v>
                </c:pt>
                <c:pt idx="5">
                  <c:v>7521.986281845654</c:v>
                </c:pt>
                <c:pt idx="6">
                  <c:v>30658.168778235755</c:v>
                </c:pt>
                <c:pt idx="7">
                  <c:v>443.63230236962249</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33815.604271727592</c:v>
                </c:pt>
                <c:pt idx="2">
                  <c:v>5805.9582180439365</c:v>
                </c:pt>
                <c:pt idx="3">
                  <c:v>170.78969081027176</c:v>
                </c:pt>
                <c:pt idx="4">
                  <c:v>419.46866777684335</c:v>
                </c:pt>
                <c:pt idx="5">
                  <c:v>7521.986281845654</c:v>
                </c:pt>
                <c:pt idx="6">
                  <c:v>30658.168778235755</c:v>
                </c:pt>
                <c:pt idx="7">
                  <c:v>443.63230236962249</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11044</v>
      </c>
      <c r="B6" s="385"/>
      <c r="C6" s="386"/>
    </row>
    <row r="7" spans="1:7" s="383" customFormat="1" ht="15.75" customHeight="1">
      <c r="A7" s="387" t="str">
        <f>txtMunicipality</f>
        <v>STABROEK</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0.20672863753037782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0.20672863753037782</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7523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1185</v>
      </c>
      <c r="C14" s="327"/>
      <c r="D14" s="327"/>
      <c r="E14" s="327"/>
      <c r="F14" s="327"/>
    </row>
    <row r="15" spans="1:6">
      <c r="A15" s="1258" t="s">
        <v>177</v>
      </c>
      <c r="B15" s="1259">
        <v>6</v>
      </c>
      <c r="C15" s="327"/>
      <c r="D15" s="327"/>
      <c r="E15" s="327"/>
      <c r="F15" s="327"/>
    </row>
    <row r="16" spans="1:6">
      <c r="A16" s="1258" t="s">
        <v>6</v>
      </c>
      <c r="B16" s="1259">
        <v>277</v>
      </c>
      <c r="C16" s="327"/>
      <c r="D16" s="327"/>
      <c r="E16" s="327"/>
      <c r="F16" s="327"/>
    </row>
    <row r="17" spans="1:6">
      <c r="A17" s="1258" t="s">
        <v>7</v>
      </c>
      <c r="B17" s="1259">
        <v>250</v>
      </c>
      <c r="C17" s="327"/>
      <c r="D17" s="327"/>
      <c r="E17" s="327"/>
      <c r="F17" s="327"/>
    </row>
    <row r="18" spans="1:6">
      <c r="A18" s="1258" t="s">
        <v>8</v>
      </c>
      <c r="B18" s="1259">
        <v>415</v>
      </c>
      <c r="C18" s="327"/>
      <c r="D18" s="327"/>
      <c r="E18" s="327"/>
      <c r="F18" s="327"/>
    </row>
    <row r="19" spans="1:6">
      <c r="A19" s="1258" t="s">
        <v>9</v>
      </c>
      <c r="B19" s="1259">
        <v>327</v>
      </c>
      <c r="C19" s="327"/>
      <c r="D19" s="327"/>
      <c r="E19" s="327"/>
      <c r="F19" s="327"/>
    </row>
    <row r="20" spans="1:6">
      <c r="A20" s="1258" t="s">
        <v>10</v>
      </c>
      <c r="B20" s="1259">
        <v>416</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144</v>
      </c>
      <c r="C26" s="327"/>
      <c r="D26" s="327"/>
      <c r="E26" s="327"/>
      <c r="F26" s="327"/>
    </row>
    <row r="27" spans="1:6">
      <c r="A27" s="1258" t="s">
        <v>17</v>
      </c>
      <c r="B27" s="1259">
        <v>626</v>
      </c>
      <c r="C27" s="327"/>
      <c r="D27" s="327"/>
      <c r="E27" s="327"/>
      <c r="F27" s="327"/>
    </row>
    <row r="28" spans="1:6">
      <c r="A28" s="1258" t="s">
        <v>18</v>
      </c>
      <c r="B28" s="1260">
        <v>1341</v>
      </c>
      <c r="C28" s="327"/>
      <c r="D28" s="327"/>
      <c r="E28" s="327"/>
      <c r="F28" s="327"/>
    </row>
    <row r="29" spans="1:6">
      <c r="A29" s="1258" t="s">
        <v>905</v>
      </c>
      <c r="B29" s="1260">
        <v>73</v>
      </c>
      <c r="C29" s="327"/>
      <c r="D29" s="327"/>
      <c r="E29" s="327"/>
      <c r="F29" s="327"/>
    </row>
    <row r="30" spans="1:6">
      <c r="A30" s="1253" t="s">
        <v>906</v>
      </c>
      <c r="B30" s="1261">
        <v>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8</v>
      </c>
      <c r="F36" s="1259">
        <v>17471.373820424898</v>
      </c>
    </row>
    <row r="37" spans="1:6">
      <c r="A37" s="1258" t="s">
        <v>24</v>
      </c>
      <c r="B37" s="1258" t="s">
        <v>27</v>
      </c>
      <c r="C37" s="1259">
        <v>0</v>
      </c>
      <c r="D37" s="1259">
        <v>0</v>
      </c>
      <c r="E37" s="1259">
        <v>0</v>
      </c>
      <c r="F37" s="1259">
        <v>0</v>
      </c>
    </row>
    <row r="38" spans="1:6">
      <c r="A38" s="1258" t="s">
        <v>24</v>
      </c>
      <c r="B38" s="1258" t="s">
        <v>28</v>
      </c>
      <c r="C38" s="1259">
        <v>0</v>
      </c>
      <c r="D38" s="1259">
        <v>0</v>
      </c>
      <c r="E38" s="1259">
        <v>0</v>
      </c>
      <c r="F38" s="1259">
        <v>0</v>
      </c>
    </row>
    <row r="39" spans="1:6">
      <c r="A39" s="1258" t="s">
        <v>29</v>
      </c>
      <c r="B39" s="1258" t="s">
        <v>30</v>
      </c>
      <c r="C39" s="1259">
        <v>6540</v>
      </c>
      <c r="D39" s="1259">
        <v>114931129.82801923</v>
      </c>
      <c r="E39" s="1259">
        <v>7750</v>
      </c>
      <c r="F39" s="1259">
        <v>28648689.5651979</v>
      </c>
    </row>
    <row r="40" spans="1:6">
      <c r="A40" s="1258" t="s">
        <v>29</v>
      </c>
      <c r="B40" s="1258" t="s">
        <v>28</v>
      </c>
      <c r="C40" s="1259">
        <v>0</v>
      </c>
      <c r="D40" s="1259">
        <v>0</v>
      </c>
      <c r="E40" s="1259">
        <v>1</v>
      </c>
      <c r="F40" s="1259">
        <v>28.715155142499999</v>
      </c>
    </row>
    <row r="41" spans="1:6">
      <c r="A41" s="1258" t="s">
        <v>31</v>
      </c>
      <c r="B41" s="1258" t="s">
        <v>32</v>
      </c>
      <c r="C41" s="1259">
        <v>43</v>
      </c>
      <c r="D41" s="1259">
        <v>1157677</v>
      </c>
      <c r="E41" s="1259">
        <v>100</v>
      </c>
      <c r="F41" s="1259">
        <v>618807.44648826797</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127332</v>
      </c>
      <c r="E44" s="1259">
        <v>5</v>
      </c>
      <c r="F44" s="1259">
        <v>84196.947408364998</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v>
      </c>
      <c r="D48" s="1259">
        <v>136392</v>
      </c>
      <c r="E48" s="1259">
        <v>35</v>
      </c>
      <c r="F48" s="1259">
        <v>3879469.6672986201</v>
      </c>
    </row>
    <row r="49" spans="1:6">
      <c r="A49" s="1258" t="s">
        <v>31</v>
      </c>
      <c r="B49" s="1258" t="s">
        <v>39</v>
      </c>
      <c r="C49" s="1259">
        <v>0</v>
      </c>
      <c r="D49" s="1259">
        <v>0</v>
      </c>
      <c r="E49" s="1259">
        <v>0</v>
      </c>
      <c r="F49" s="1259">
        <v>0</v>
      </c>
    </row>
    <row r="50" spans="1:6">
      <c r="A50" s="1258" t="s">
        <v>31</v>
      </c>
      <c r="B50" s="1258" t="s">
        <v>40</v>
      </c>
      <c r="C50" s="1259">
        <v>12</v>
      </c>
      <c r="D50" s="1259">
        <v>30729754</v>
      </c>
      <c r="E50" s="1259">
        <v>19</v>
      </c>
      <c r="F50" s="1259">
        <v>426790.651603178</v>
      </c>
    </row>
    <row r="51" spans="1:6">
      <c r="A51" s="1258" t="s">
        <v>41</v>
      </c>
      <c r="B51" s="1258" t="s">
        <v>42</v>
      </c>
      <c r="C51" s="1259">
        <v>5</v>
      </c>
      <c r="D51" s="1259">
        <v>121565</v>
      </c>
      <c r="E51" s="1259">
        <v>28</v>
      </c>
      <c r="F51" s="1259">
        <v>227052.48056365899</v>
      </c>
    </row>
    <row r="52" spans="1:6">
      <c r="A52" s="1258" t="s">
        <v>41</v>
      </c>
      <c r="B52" s="1258" t="s">
        <v>28</v>
      </c>
      <c r="C52" s="1259">
        <v>0</v>
      </c>
      <c r="D52" s="1259">
        <v>0</v>
      </c>
      <c r="E52" s="1259">
        <v>7</v>
      </c>
      <c r="F52" s="1259">
        <v>105257.267002575</v>
      </c>
    </row>
    <row r="53" spans="1:6">
      <c r="A53" s="1258" t="s">
        <v>43</v>
      </c>
      <c r="B53" s="1258" t="s">
        <v>44</v>
      </c>
      <c r="C53" s="1259">
        <v>0</v>
      </c>
      <c r="D53" s="1259">
        <v>0</v>
      </c>
      <c r="E53" s="1259">
        <v>189</v>
      </c>
      <c r="F53" s="1259">
        <v>602581.91617611505</v>
      </c>
    </row>
    <row r="54" spans="1:6">
      <c r="A54" s="1258" t="s">
        <v>45</v>
      </c>
      <c r="B54" s="1258" t="s">
        <v>46</v>
      </c>
      <c r="C54" s="1259">
        <v>0</v>
      </c>
      <c r="D54" s="1259">
        <v>0</v>
      </c>
      <c r="E54" s="1259">
        <v>1</v>
      </c>
      <c r="F54" s="1259">
        <v>826154</v>
      </c>
    </row>
    <row r="55" spans="1:6">
      <c r="A55" s="1258" t="s">
        <v>45</v>
      </c>
      <c r="B55" s="1258" t="s">
        <v>28</v>
      </c>
      <c r="C55" s="1259">
        <v>0</v>
      </c>
      <c r="D55" s="1259">
        <v>0</v>
      </c>
      <c r="E55" s="1259">
        <v>0</v>
      </c>
      <c r="F55" s="1259">
        <v>0</v>
      </c>
    </row>
    <row r="56" spans="1:6">
      <c r="A56" s="1258" t="s">
        <v>47</v>
      </c>
      <c r="B56" s="1258" t="s">
        <v>28</v>
      </c>
      <c r="C56" s="1259">
        <v>74</v>
      </c>
      <c r="D56" s="1259">
        <v>3203778</v>
      </c>
      <c r="E56" s="1259">
        <v>0</v>
      </c>
      <c r="F56" s="1259">
        <v>0</v>
      </c>
    </row>
    <row r="57" spans="1:6">
      <c r="A57" s="1258" t="s">
        <v>48</v>
      </c>
      <c r="B57" s="1258" t="s">
        <v>49</v>
      </c>
      <c r="C57" s="1259">
        <v>29</v>
      </c>
      <c r="D57" s="1259">
        <v>764508</v>
      </c>
      <c r="E57" s="1259">
        <v>26</v>
      </c>
      <c r="F57" s="1259">
        <v>1156349.04738784</v>
      </c>
    </row>
    <row r="58" spans="1:6">
      <c r="A58" s="1258" t="s">
        <v>48</v>
      </c>
      <c r="B58" s="1258" t="s">
        <v>50</v>
      </c>
      <c r="C58" s="1259">
        <v>9</v>
      </c>
      <c r="D58" s="1259">
        <v>1164332</v>
      </c>
      <c r="E58" s="1259">
        <v>20</v>
      </c>
      <c r="F58" s="1259">
        <v>243292.51447651</v>
      </c>
    </row>
    <row r="59" spans="1:6">
      <c r="A59" s="1258" t="s">
        <v>48</v>
      </c>
      <c r="B59" s="1258" t="s">
        <v>51</v>
      </c>
      <c r="C59" s="1259">
        <v>75</v>
      </c>
      <c r="D59" s="1259">
        <v>3027758</v>
      </c>
      <c r="E59" s="1259">
        <v>98</v>
      </c>
      <c r="F59" s="1259">
        <v>3661353.28160907</v>
      </c>
    </row>
    <row r="60" spans="1:6">
      <c r="A60" s="1258" t="s">
        <v>48</v>
      </c>
      <c r="B60" s="1258" t="s">
        <v>52</v>
      </c>
      <c r="C60" s="1259">
        <v>25</v>
      </c>
      <c r="D60" s="1259">
        <v>1438813</v>
      </c>
      <c r="E60" s="1259">
        <v>40</v>
      </c>
      <c r="F60" s="1259">
        <v>1042651.3163785</v>
      </c>
    </row>
    <row r="61" spans="1:6">
      <c r="A61" s="1258" t="s">
        <v>48</v>
      </c>
      <c r="B61" s="1258" t="s">
        <v>53</v>
      </c>
      <c r="C61" s="1259">
        <v>107</v>
      </c>
      <c r="D61" s="1259">
        <v>8674390</v>
      </c>
      <c r="E61" s="1259">
        <v>203</v>
      </c>
      <c r="F61" s="1259">
        <v>2436070.5312545002</v>
      </c>
    </row>
    <row r="62" spans="1:6">
      <c r="A62" s="1258" t="s">
        <v>48</v>
      </c>
      <c r="B62" s="1258" t="s">
        <v>54</v>
      </c>
      <c r="C62" s="1259">
        <v>11</v>
      </c>
      <c r="D62" s="1259">
        <v>1530231</v>
      </c>
      <c r="E62" s="1259">
        <v>9</v>
      </c>
      <c r="F62" s="1259">
        <v>933304.97484773002</v>
      </c>
    </row>
    <row r="63" spans="1:6">
      <c r="A63" s="1258" t="s">
        <v>48</v>
      </c>
      <c r="B63" s="1258" t="s">
        <v>28</v>
      </c>
      <c r="C63" s="1259">
        <v>0</v>
      </c>
      <c r="D63" s="1259">
        <v>0</v>
      </c>
      <c r="E63" s="1259">
        <v>87</v>
      </c>
      <c r="F63" s="1259">
        <v>1815161.93809172</v>
      </c>
    </row>
    <row r="64" spans="1:6">
      <c r="A64" s="1258" t="s">
        <v>55</v>
      </c>
      <c r="B64" s="1258" t="s">
        <v>56</v>
      </c>
      <c r="C64" s="1259">
        <v>0</v>
      </c>
      <c r="D64" s="1259">
        <v>0</v>
      </c>
      <c r="E64" s="1259">
        <v>0</v>
      </c>
      <c r="F64" s="1259">
        <v>0</v>
      </c>
    </row>
    <row r="65" spans="1:6">
      <c r="A65" s="1258" t="s">
        <v>55</v>
      </c>
      <c r="B65" s="1258" t="s">
        <v>28</v>
      </c>
      <c r="C65" s="1259">
        <v>0</v>
      </c>
      <c r="D65" s="1259">
        <v>0</v>
      </c>
      <c r="E65" s="1259">
        <v>2</v>
      </c>
      <c r="F65" s="1259">
        <v>4425.8567409582001</v>
      </c>
    </row>
    <row r="66" spans="1:6">
      <c r="A66" s="1258" t="s">
        <v>55</v>
      </c>
      <c r="B66" s="1258" t="s">
        <v>57</v>
      </c>
      <c r="C66" s="1259">
        <v>0</v>
      </c>
      <c r="D66" s="1259">
        <v>0</v>
      </c>
      <c r="E66" s="1259">
        <v>0</v>
      </c>
      <c r="F66" s="1259">
        <v>0</v>
      </c>
    </row>
    <row r="67" spans="1:6">
      <c r="A67" s="1258" t="s">
        <v>55</v>
      </c>
      <c r="B67" s="1258" t="s">
        <v>58</v>
      </c>
      <c r="C67" s="1259">
        <v>0</v>
      </c>
      <c r="D67" s="1259">
        <v>0</v>
      </c>
      <c r="E67" s="1259">
        <v>66</v>
      </c>
      <c r="F67" s="1259">
        <v>691076.94275899604</v>
      </c>
    </row>
    <row r="68" spans="1:6">
      <c r="A68" s="1253" t="s">
        <v>55</v>
      </c>
      <c r="B68" s="1253" t="s">
        <v>59</v>
      </c>
      <c r="C68" s="1261">
        <v>3</v>
      </c>
      <c r="D68" s="1261">
        <v>48822</v>
      </c>
      <c r="E68" s="1261">
        <v>3</v>
      </c>
      <c r="F68" s="1261">
        <v>16048.261473352</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31105766</v>
      </c>
      <c r="E73" s="446"/>
      <c r="F73" s="327"/>
    </row>
    <row r="74" spans="1:6">
      <c r="A74" s="1258" t="s">
        <v>63</v>
      </c>
      <c r="B74" s="1258" t="s">
        <v>681</v>
      </c>
      <c r="C74" s="1271" t="s">
        <v>682</v>
      </c>
      <c r="D74" s="1259">
        <v>2561467.6364729074</v>
      </c>
      <c r="E74" s="446"/>
      <c r="F74" s="327"/>
    </row>
    <row r="75" spans="1:6">
      <c r="A75" s="1258" t="s">
        <v>64</v>
      </c>
      <c r="B75" s="1258" t="s">
        <v>679</v>
      </c>
      <c r="C75" s="1271" t="s">
        <v>683</v>
      </c>
      <c r="D75" s="1259">
        <v>14473291</v>
      </c>
      <c r="E75" s="446"/>
      <c r="F75" s="327"/>
    </row>
    <row r="76" spans="1:6">
      <c r="A76" s="1258" t="s">
        <v>64</v>
      </c>
      <c r="B76" s="1258" t="s">
        <v>681</v>
      </c>
      <c r="C76" s="1271" t="s">
        <v>684</v>
      </c>
      <c r="D76" s="1259">
        <v>217309.63647290756</v>
      </c>
      <c r="E76" s="446"/>
      <c r="F76" s="327"/>
    </row>
    <row r="77" spans="1:6">
      <c r="A77" s="1258" t="s">
        <v>65</v>
      </c>
      <c r="B77" s="1258" t="s">
        <v>679</v>
      </c>
      <c r="C77" s="1271" t="s">
        <v>685</v>
      </c>
      <c r="D77" s="1259">
        <v>61472711</v>
      </c>
      <c r="E77" s="446"/>
      <c r="F77" s="327"/>
    </row>
    <row r="78" spans="1:6">
      <c r="A78" s="1253" t="s">
        <v>65</v>
      </c>
      <c r="B78" s="1253" t="s">
        <v>681</v>
      </c>
      <c r="C78" s="1253" t="s">
        <v>686</v>
      </c>
      <c r="D78" s="1261">
        <v>15066605</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459910.72705418488</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2568.9833587315834</v>
      </c>
      <c r="C91" s="327"/>
      <c r="D91" s="327"/>
      <c r="E91" s="327"/>
      <c r="F91" s="327"/>
    </row>
    <row r="92" spans="1:6">
      <c r="A92" s="1253" t="s">
        <v>68</v>
      </c>
      <c r="B92" s="1254">
        <v>614.18438167392037</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5071</v>
      </c>
      <c r="C97" s="327"/>
      <c r="D97" s="327"/>
      <c r="E97" s="327"/>
      <c r="F97" s="327"/>
    </row>
    <row r="98" spans="1:6">
      <c r="A98" s="1258" t="s">
        <v>71</v>
      </c>
      <c r="B98" s="1259">
        <v>4</v>
      </c>
      <c r="C98" s="327"/>
      <c r="D98" s="327"/>
      <c r="E98" s="327"/>
      <c r="F98" s="327"/>
    </row>
    <row r="99" spans="1:6">
      <c r="A99" s="1258" t="s">
        <v>72</v>
      </c>
      <c r="B99" s="1259">
        <v>7</v>
      </c>
      <c r="C99" s="327"/>
      <c r="D99" s="327"/>
      <c r="E99" s="327"/>
      <c r="F99" s="327"/>
    </row>
    <row r="100" spans="1:6">
      <c r="A100" s="1258" t="s">
        <v>73</v>
      </c>
      <c r="B100" s="1259">
        <v>451</v>
      </c>
      <c r="C100" s="327"/>
      <c r="D100" s="327"/>
      <c r="E100" s="327"/>
      <c r="F100" s="327"/>
    </row>
    <row r="101" spans="1:6">
      <c r="A101" s="1258" t="s">
        <v>74</v>
      </c>
      <c r="B101" s="1259">
        <v>52</v>
      </c>
      <c r="C101" s="327"/>
      <c r="D101" s="327"/>
      <c r="E101" s="327"/>
      <c r="F101" s="327"/>
    </row>
    <row r="102" spans="1:6">
      <c r="A102" s="1258" t="s">
        <v>75</v>
      </c>
      <c r="B102" s="1259">
        <v>84</v>
      </c>
      <c r="C102" s="327"/>
      <c r="D102" s="327"/>
      <c r="E102" s="327"/>
      <c r="F102" s="327"/>
    </row>
    <row r="103" spans="1:6">
      <c r="A103" s="1258" t="s">
        <v>76</v>
      </c>
      <c r="B103" s="1259">
        <v>115</v>
      </c>
      <c r="C103" s="327"/>
      <c r="D103" s="327"/>
      <c r="E103" s="327"/>
      <c r="F103" s="327"/>
    </row>
    <row r="104" spans="1:6">
      <c r="A104" s="1258" t="s">
        <v>77</v>
      </c>
      <c r="B104" s="1259">
        <v>786</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1</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v>
      </c>
      <c r="C123" s="1259">
        <v>4</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66</v>
      </c>
      <c r="C129" s="327"/>
      <c r="D129" s="327"/>
      <c r="E129" s="327"/>
      <c r="F129" s="327"/>
    </row>
    <row r="130" spans="1:6">
      <c r="A130" s="1258" t="s">
        <v>284</v>
      </c>
      <c r="B130" s="1259">
        <v>0</v>
      </c>
      <c r="C130" s="327"/>
      <c r="D130" s="327"/>
      <c r="E130" s="327"/>
      <c r="F130" s="327"/>
    </row>
    <row r="131" spans="1:6">
      <c r="A131" s="1258" t="s">
        <v>285</v>
      </c>
      <c r="B131" s="1259">
        <v>1</v>
      </c>
      <c r="C131" s="327"/>
      <c r="D131" s="327"/>
      <c r="E131" s="327"/>
      <c r="F131" s="327"/>
    </row>
    <row r="132" spans="1:6">
      <c r="A132" s="1253" t="s">
        <v>286</v>
      </c>
      <c r="B132" s="1254">
        <v>10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49293.126155756625</v>
      </c>
      <c r="C3" s="43" t="s">
        <v>163</v>
      </c>
      <c r="D3" s="43"/>
      <c r="E3" s="156"/>
      <c r="F3" s="43"/>
      <c r="G3" s="43"/>
      <c r="H3" s="43"/>
      <c r="I3" s="43"/>
      <c r="J3" s="43"/>
      <c r="K3" s="96"/>
    </row>
    <row r="4" spans="1:11">
      <c r="A4" s="353" t="s">
        <v>164</v>
      </c>
      <c r="B4" s="49">
        <f>IF(ISERROR('SEAP template'!B78+'SEAP template'!C78),0,'SEAP template'!B78+'SEAP template'!C78)</f>
        <v>3183.1677404055035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0.20672863753037782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826.154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826.154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0.20672863753037782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170.78969081027176</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28648.718280353045</v>
      </c>
      <c r="C5" s="17">
        <f>IF(ISERROR('Eigen informatie GS &amp; warmtenet'!B57),0,'Eigen informatie GS &amp; warmtenet'!B57)</f>
        <v>0</v>
      </c>
      <c r="D5" s="30">
        <f>(SUM(HH_hh_gas_kWh,HH_rest_gas_kWh)/1000)*0.902</f>
        <v>103667.87910487334</v>
      </c>
      <c r="E5" s="17">
        <f>B32*B41</f>
        <v>745.35765156436401</v>
      </c>
      <c r="F5" s="17">
        <f>B36*B45</f>
        <v>22841.837604933447</v>
      </c>
      <c r="G5" s="18"/>
      <c r="H5" s="17"/>
      <c r="I5" s="17"/>
      <c r="J5" s="17">
        <f>B35*B44+C35*C44</f>
        <v>432.57892215544655</v>
      </c>
      <c r="K5" s="17"/>
      <c r="L5" s="17"/>
      <c r="M5" s="17"/>
      <c r="N5" s="17">
        <f>B34*B43+C34*C43</f>
        <v>10966.312859364338</v>
      </c>
      <c r="O5" s="17">
        <f>B52*B53*B54</f>
        <v>109.43333333333334</v>
      </c>
      <c r="P5" s="17">
        <f>B60*B61*B62/1000-B60*B61*B62/1000/B63</f>
        <v>228.8</v>
      </c>
    </row>
    <row r="6" spans="1:16">
      <c r="A6" s="16" t="s">
        <v>592</v>
      </c>
      <c r="B6" s="733">
        <f>kWh_PV_kleiner_dan_10kW</f>
        <v>2568.9833587315834</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31217.701639084629</v>
      </c>
      <c r="C8" s="21">
        <f>C5</f>
        <v>0</v>
      </c>
      <c r="D8" s="21">
        <f>D5</f>
        <v>103667.87910487334</v>
      </c>
      <c r="E8" s="21">
        <f>E5</f>
        <v>745.35765156436401</v>
      </c>
      <c r="F8" s="21">
        <f>F5</f>
        <v>22841.837604933447</v>
      </c>
      <c r="G8" s="21"/>
      <c r="H8" s="21"/>
      <c r="I8" s="21"/>
      <c r="J8" s="21">
        <f>J5</f>
        <v>432.57892215544655</v>
      </c>
      <c r="K8" s="21"/>
      <c r="L8" s="21">
        <f>L5</f>
        <v>0</v>
      </c>
      <c r="M8" s="21">
        <f>M5</f>
        <v>0</v>
      </c>
      <c r="N8" s="21">
        <f>N5</f>
        <v>10966.312859364338</v>
      </c>
      <c r="O8" s="21">
        <f>O5</f>
        <v>109.43333333333334</v>
      </c>
      <c r="P8" s="21">
        <f>P5</f>
        <v>228.8</v>
      </c>
    </row>
    <row r="9" spans="1:16">
      <c r="B9" s="19"/>
      <c r="C9" s="19"/>
      <c r="D9" s="257"/>
      <c r="E9" s="19"/>
      <c r="F9" s="19"/>
      <c r="G9" s="19"/>
      <c r="H9" s="19"/>
      <c r="I9" s="19"/>
      <c r="J9" s="19"/>
      <c r="K9" s="19"/>
      <c r="L9" s="19"/>
      <c r="M9" s="19"/>
      <c r="N9" s="19"/>
      <c r="O9" s="19"/>
      <c r="P9" s="19"/>
    </row>
    <row r="10" spans="1:16">
      <c r="A10" s="24" t="s">
        <v>207</v>
      </c>
      <c r="B10" s="25">
        <f ca="1">'EF ele_warmte'!B12</f>
        <v>0.20672863753037782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6453.5929266778076</v>
      </c>
      <c r="C12" s="23">
        <f ca="1">C10*C8</f>
        <v>0</v>
      </c>
      <c r="D12" s="23">
        <f>D8*D10</f>
        <v>20940.911579184416</v>
      </c>
      <c r="E12" s="23">
        <f>E10*E8</f>
        <v>169.19618690511064</v>
      </c>
      <c r="F12" s="23">
        <f>F10*F8</f>
        <v>6098.7706405172312</v>
      </c>
      <c r="G12" s="23"/>
      <c r="H12" s="23"/>
      <c r="I12" s="23"/>
      <c r="J12" s="23">
        <f>J10*J8</f>
        <v>153.13293844302808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7523</v>
      </c>
      <c r="C26" s="36"/>
      <c r="D26" s="227"/>
    </row>
    <row r="27" spans="1:5" s="15" customFormat="1">
      <c r="A27" s="229" t="s">
        <v>697</v>
      </c>
      <c r="B27" s="37">
        <f>SUM(HH_hh_gas_aantal,HH_rest_gas_aantal)</f>
        <v>6540</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6213</v>
      </c>
      <c r="C31" s="34" t="s">
        <v>104</v>
      </c>
      <c r="D31" s="173"/>
    </row>
    <row r="32" spans="1:5">
      <c r="A32" s="170" t="s">
        <v>72</v>
      </c>
      <c r="B32" s="33">
        <f>IF((B21*($B$26-($B$27-0.05*$B$27)-$B$60))&lt;0,0,B21*($B$26-($B$27-0.05*$B$27)-$B$60))</f>
        <v>32.503947549475896</v>
      </c>
      <c r="C32" s="34" t="s">
        <v>104</v>
      </c>
      <c r="D32" s="173"/>
    </row>
    <row r="33" spans="1:6">
      <c r="A33" s="170" t="s">
        <v>73</v>
      </c>
      <c r="B33" s="33">
        <f>IF((B22*($B$26-($B$27-0.05*$B$27)-$B$60))&lt;0,0,B22*($B$26-($B$27-0.05*$B$27)-$B$60))</f>
        <v>218.78968892176542</v>
      </c>
      <c r="C33" s="34" t="s">
        <v>104</v>
      </c>
      <c r="D33" s="173"/>
    </row>
    <row r="34" spans="1:6">
      <c r="A34" s="170" t="s">
        <v>74</v>
      </c>
      <c r="B34" s="33">
        <f>IF((B24*($B$26-($B$27-0.05*$B$27)-$B$60))&lt;0,0,B24*($B$26-($B$27-0.05*$B$27)-$B$60))</f>
        <v>55.509909668191774</v>
      </c>
      <c r="C34" s="33">
        <f>B26*C24</f>
        <v>1538.9053887713035</v>
      </c>
      <c r="D34" s="232"/>
    </row>
    <row r="35" spans="1:6">
      <c r="A35" s="170" t="s">
        <v>76</v>
      </c>
      <c r="B35" s="33">
        <f>IF((B19*($B$26-($B$27-0.05*$B$27)-$B$60))&lt;0,0,B19*($B$26-($B$27-0.05*$B$27)-$B$60))</f>
        <v>20.629305805835063</v>
      </c>
      <c r="C35" s="33">
        <f>B35/2</f>
        <v>10.314652902917532</v>
      </c>
      <c r="D35" s="232"/>
    </row>
    <row r="36" spans="1:6">
      <c r="A36" s="170" t="s">
        <v>77</v>
      </c>
      <c r="B36" s="33">
        <f>IF((B18*($B$26-($B$27-0.05*$B$27)-$B$60))&lt;0,0,B18*($B$26-($B$27-0.05*$B$27)-$B$60))</f>
        <v>970.56714805473189</v>
      </c>
      <c r="C36" s="34" t="s">
        <v>104</v>
      </c>
      <c r="D36" s="173"/>
    </row>
    <row r="37" spans="1:6">
      <c r="A37" s="170" t="s">
        <v>78</v>
      </c>
      <c r="B37" s="33">
        <f>B60</f>
        <v>12</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70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12</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11288.183604045869</v>
      </c>
      <c r="C5" s="17">
        <f>IF(ISERROR('Eigen informatie GS &amp; warmtenet'!B58),0,'Eigen informatie GS &amp; warmtenet'!B58)</f>
        <v>0</v>
      </c>
      <c r="D5" s="30">
        <f>SUM(D6:D12)</f>
        <v>14973.228863999999</v>
      </c>
      <c r="E5" s="17">
        <f>SUM(E6:E12)</f>
        <v>62.694701970226042</v>
      </c>
      <c r="F5" s="17">
        <f>SUM(F6:F12)</f>
        <v>1603.0491982291487</v>
      </c>
      <c r="G5" s="18"/>
      <c r="H5" s="17"/>
      <c r="I5" s="17"/>
      <c r="J5" s="17">
        <f>SUM(J6:J12)</f>
        <v>15.619597695930697</v>
      </c>
      <c r="K5" s="17"/>
      <c r="L5" s="17"/>
      <c r="M5" s="17"/>
      <c r="N5" s="17">
        <f>SUM(N6:N12)</f>
        <v>852.64490226390706</v>
      </c>
      <c r="O5" s="17">
        <f>B38*B39*B40</f>
        <v>0</v>
      </c>
      <c r="P5" s="17">
        <f>B46*B47*B48/1000-B46*B47*B48/1000/B49</f>
        <v>19.066666666666666</v>
      </c>
      <c r="R5" s="32"/>
    </row>
    <row r="6" spans="1:18">
      <c r="A6" s="32" t="s">
        <v>53</v>
      </c>
      <c r="B6" s="37">
        <f>B26</f>
        <v>2436.0705312545001</v>
      </c>
      <c r="C6" s="33"/>
      <c r="D6" s="37">
        <f>IF(ISERROR(TER_kantoor_gas_kWh/1000),0,TER_kantoor_gas_kWh/1000)*0.902</f>
        <v>7824.2997799999994</v>
      </c>
      <c r="E6" s="33">
        <f>$C$26*'E Balans VL '!I12/100/3.6*1000000</f>
        <v>20.562560002257811</v>
      </c>
      <c r="F6" s="33">
        <f>$C$26*('E Balans VL '!L12+'E Balans VL '!N12)/100/3.6*1000000</f>
        <v>326.65008585957429</v>
      </c>
      <c r="G6" s="34"/>
      <c r="H6" s="33"/>
      <c r="I6" s="33"/>
      <c r="J6" s="33">
        <f>$C$26*('E Balans VL '!D12+'E Balans VL '!E12)/100/3.6*1000000</f>
        <v>0</v>
      </c>
      <c r="K6" s="33"/>
      <c r="L6" s="33"/>
      <c r="M6" s="33"/>
      <c r="N6" s="33">
        <f>$C$26*'E Balans VL '!Y12/100/3.6*1000000</f>
        <v>21.424486893653793</v>
      </c>
      <c r="O6" s="33"/>
      <c r="P6" s="33"/>
      <c r="R6" s="32"/>
    </row>
    <row r="7" spans="1:18">
      <c r="A7" s="32" t="s">
        <v>52</v>
      </c>
      <c r="B7" s="37">
        <f t="shared" ref="B7:B12" si="0">B27</f>
        <v>1042.6513163785</v>
      </c>
      <c r="C7" s="33"/>
      <c r="D7" s="37">
        <f>IF(ISERROR(TER_horeca_gas_kWh/1000),0,TER_horeca_gas_kWh/1000)*0.902</f>
        <v>1297.8093260000001</v>
      </c>
      <c r="E7" s="33">
        <f>$C$27*'E Balans VL '!I9/100/3.6*1000000</f>
        <v>13.708783234125452</v>
      </c>
      <c r="F7" s="33">
        <f>$C$27*('E Balans VL '!L9+'E Balans VL '!N9)/100/3.6*1000000</f>
        <v>261.84868619472837</v>
      </c>
      <c r="G7" s="34"/>
      <c r="H7" s="33"/>
      <c r="I7" s="33"/>
      <c r="J7" s="33">
        <f>$C$27*('E Balans VL '!D9+'E Balans VL '!E9)/100/3.6*1000000</f>
        <v>0</v>
      </c>
      <c r="K7" s="33"/>
      <c r="L7" s="33"/>
      <c r="M7" s="33"/>
      <c r="N7" s="33">
        <f>$C$27*'E Balans VL '!Y9/100/3.6*1000000</f>
        <v>0.28384902246781202</v>
      </c>
      <c r="O7" s="33"/>
      <c r="P7" s="33"/>
      <c r="R7" s="32"/>
    </row>
    <row r="8" spans="1:18">
      <c r="A8" s="6" t="s">
        <v>51</v>
      </c>
      <c r="B8" s="37">
        <f t="shared" si="0"/>
        <v>3661.3532816090701</v>
      </c>
      <c r="C8" s="33"/>
      <c r="D8" s="37">
        <f>IF(ISERROR(TER_handel_gas_kWh/1000),0,TER_handel_gas_kWh/1000)*0.902</f>
        <v>2731.0377159999998</v>
      </c>
      <c r="E8" s="33">
        <f>$C$28*'E Balans VL '!I13/100/3.6*1000000</f>
        <v>16.034412918699271</v>
      </c>
      <c r="F8" s="33">
        <f>$C$28*('E Balans VL '!L13+'E Balans VL '!N13)/100/3.6*1000000</f>
        <v>246.09647587992396</v>
      </c>
      <c r="G8" s="34"/>
      <c r="H8" s="33"/>
      <c r="I8" s="33"/>
      <c r="J8" s="33">
        <f>$C$28*('E Balans VL '!D13+'E Balans VL '!E13)/100/3.6*1000000</f>
        <v>0</v>
      </c>
      <c r="K8" s="33"/>
      <c r="L8" s="33"/>
      <c r="M8" s="33"/>
      <c r="N8" s="33">
        <f>$C$28*'E Balans VL '!Y13/100/3.6*1000000</f>
        <v>10.816572258097692</v>
      </c>
      <c r="O8" s="33"/>
      <c r="P8" s="33"/>
      <c r="R8" s="32"/>
    </row>
    <row r="9" spans="1:18">
      <c r="A9" s="32" t="s">
        <v>50</v>
      </c>
      <c r="B9" s="37">
        <f t="shared" si="0"/>
        <v>243.29251447651001</v>
      </c>
      <c r="C9" s="33"/>
      <c r="D9" s="37">
        <f>IF(ISERROR(TER_gezond_gas_kWh/1000),0,TER_gezond_gas_kWh/1000)*0.902</f>
        <v>1050.2274640000001</v>
      </c>
      <c r="E9" s="33">
        <f>$C$29*'E Balans VL '!I10/100/3.6*1000000</f>
        <v>8.366936987338526E-2</v>
      </c>
      <c r="F9" s="33">
        <f>$C$29*('E Balans VL '!L10+'E Balans VL '!N10)/100/3.6*1000000</f>
        <v>21.264724046612745</v>
      </c>
      <c r="G9" s="34"/>
      <c r="H9" s="33"/>
      <c r="I9" s="33"/>
      <c r="J9" s="33">
        <f>$C$29*('E Balans VL '!D10+'E Balans VL '!E10)/100/3.6*1000000</f>
        <v>10.091982144894361</v>
      </c>
      <c r="K9" s="33"/>
      <c r="L9" s="33"/>
      <c r="M9" s="33"/>
      <c r="N9" s="33">
        <f>$C$29*'E Balans VL '!Y10/100/3.6*1000000</f>
        <v>2.5508321085895762</v>
      </c>
      <c r="O9" s="33"/>
      <c r="P9" s="33"/>
      <c r="R9" s="32"/>
    </row>
    <row r="10" spans="1:18">
      <c r="A10" s="32" t="s">
        <v>49</v>
      </c>
      <c r="B10" s="37">
        <f t="shared" si="0"/>
        <v>1156.3490473878401</v>
      </c>
      <c r="C10" s="33"/>
      <c r="D10" s="37">
        <f>IF(ISERROR(TER_ander_gas_kWh/1000),0,TER_ander_gas_kWh/1000)*0.902</f>
        <v>689.58621600000004</v>
      </c>
      <c r="E10" s="33">
        <f>$C$30*'E Balans VL '!I14/100/3.6*1000000</f>
        <v>0.68772297119610459</v>
      </c>
      <c r="F10" s="33">
        <f>$C$30*('E Balans VL '!L14+'E Balans VL '!N14)/100/3.6*1000000</f>
        <v>204.73522858129243</v>
      </c>
      <c r="G10" s="34"/>
      <c r="H10" s="33"/>
      <c r="I10" s="33"/>
      <c r="J10" s="33">
        <f>$C$30*('E Balans VL '!D14+'E Balans VL '!E14)/100/3.6*1000000</f>
        <v>0</v>
      </c>
      <c r="K10" s="33"/>
      <c r="L10" s="33"/>
      <c r="M10" s="33"/>
      <c r="N10" s="33">
        <f>$C$30*'E Balans VL '!Y14/100/3.6*1000000</f>
        <v>686.60064365631888</v>
      </c>
      <c r="O10" s="33"/>
      <c r="P10" s="33"/>
      <c r="R10" s="32"/>
    </row>
    <row r="11" spans="1:18">
      <c r="A11" s="32" t="s">
        <v>54</v>
      </c>
      <c r="B11" s="37">
        <f t="shared" si="0"/>
        <v>933.30497484773002</v>
      </c>
      <c r="C11" s="33"/>
      <c r="D11" s="37">
        <f>IF(ISERROR(TER_onderwijs_gas_kWh/1000),0,TER_onderwijs_gas_kWh/1000)*0.902</f>
        <v>1380.268362</v>
      </c>
      <c r="E11" s="33">
        <f>$C$31*'E Balans VL '!I11/100/3.6*1000000</f>
        <v>0.62078875890134999</v>
      </c>
      <c r="F11" s="33">
        <f>$C$31*('E Balans VL '!L11+'E Balans VL '!N11)/100/3.6*1000000</f>
        <v>299.01272866799155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1815.16193809172</v>
      </c>
      <c r="C12" s="33"/>
      <c r="D12" s="37">
        <f>IF(ISERROR(TER_rest_gas_kWh/1000),0,TER_rest_gas_kWh/1000)*0.902</f>
        <v>0</v>
      </c>
      <c r="E12" s="33">
        <f>$C$32*'E Balans VL '!I8/100/3.6*1000000</f>
        <v>10.996764715172676</v>
      </c>
      <c r="F12" s="33">
        <f>$C$32*('E Balans VL '!L8+'E Balans VL '!N8)/100/3.6*1000000</f>
        <v>243.4412689990254</v>
      </c>
      <c r="G12" s="34"/>
      <c r="H12" s="33"/>
      <c r="I12" s="33"/>
      <c r="J12" s="33">
        <f>$C$32*('E Balans VL '!D8+'E Balans VL '!E8)/100/3.6*1000000</f>
        <v>5.5276155510363365</v>
      </c>
      <c r="K12" s="33"/>
      <c r="L12" s="33"/>
      <c r="M12" s="33"/>
      <c r="N12" s="33">
        <f>$C$32*'E Balans VL '!Y8/100/3.6*1000000</f>
        <v>130.9685183247793</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11288.183604045869</v>
      </c>
      <c r="C16" s="21">
        <f t="shared" ca="1" si="1"/>
        <v>0</v>
      </c>
      <c r="D16" s="21">
        <f t="shared" ca="1" si="1"/>
        <v>14973.228863999999</v>
      </c>
      <c r="E16" s="21">
        <f t="shared" si="1"/>
        <v>62.694701970226042</v>
      </c>
      <c r="F16" s="21">
        <f t="shared" ca="1" si="1"/>
        <v>1603.0491982291487</v>
      </c>
      <c r="G16" s="21">
        <f t="shared" si="1"/>
        <v>0</v>
      </c>
      <c r="H16" s="21">
        <f t="shared" si="1"/>
        <v>0</v>
      </c>
      <c r="I16" s="21">
        <f t="shared" si="1"/>
        <v>0</v>
      </c>
      <c r="J16" s="21">
        <f t="shared" si="1"/>
        <v>15.619597695930697</v>
      </c>
      <c r="K16" s="21">
        <f t="shared" si="1"/>
        <v>0</v>
      </c>
      <c r="L16" s="21">
        <f t="shared" ca="1" si="1"/>
        <v>0</v>
      </c>
      <c r="M16" s="21">
        <f t="shared" si="1"/>
        <v>0</v>
      </c>
      <c r="N16" s="21">
        <f t="shared" ca="1" si="1"/>
        <v>852.64490226390706</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0.20672863753037782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2333.5908166571526</v>
      </c>
      <c r="C20" s="23">
        <f t="shared" ref="C20:P20" ca="1" si="2">C16*C18</f>
        <v>0</v>
      </c>
      <c r="D20" s="23">
        <f t="shared" ca="1" si="2"/>
        <v>3024.5922305280001</v>
      </c>
      <c r="E20" s="23">
        <f t="shared" si="2"/>
        <v>14.231697347241312</v>
      </c>
      <c r="F20" s="23">
        <f t="shared" ca="1" si="2"/>
        <v>428.01413592718274</v>
      </c>
      <c r="G20" s="23">
        <f t="shared" si="2"/>
        <v>0</v>
      </c>
      <c r="H20" s="23">
        <f t="shared" si="2"/>
        <v>0</v>
      </c>
      <c r="I20" s="23">
        <f t="shared" si="2"/>
        <v>0</v>
      </c>
      <c r="J20" s="23">
        <f t="shared" si="2"/>
        <v>5.5293375843594665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2436.0705312545001</v>
      </c>
      <c r="C26" s="39">
        <f>IF(ISERROR(B26*3.6/1000000/'E Balans VL '!Z12*100),0,B26*3.6/1000000/'E Balans VL '!Z12*100)</f>
        <v>5.105701405378249E-2</v>
      </c>
      <c r="D26" s="235" t="s">
        <v>647</v>
      </c>
      <c r="F26" s="6"/>
    </row>
    <row r="27" spans="1:18">
      <c r="A27" s="230" t="s">
        <v>52</v>
      </c>
      <c r="B27" s="33">
        <f>IF(ISERROR(TER_horeca_ele_kWh/1000),0,TER_horeca_ele_kWh/1000)</f>
        <v>1042.6513163785</v>
      </c>
      <c r="C27" s="39">
        <f>IF(ISERROR(B27*3.6/1000000/'E Balans VL '!Z9*100),0,B27*3.6/1000000/'E Balans VL '!Z9*100)</f>
        <v>7.9939897017141062E-2</v>
      </c>
      <c r="D27" s="235" t="s">
        <v>647</v>
      </c>
      <c r="F27" s="6"/>
    </row>
    <row r="28" spans="1:18">
      <c r="A28" s="170" t="s">
        <v>51</v>
      </c>
      <c r="B28" s="33">
        <f>IF(ISERROR(TER_handel_ele_kWh/1000),0,TER_handel_ele_kWh/1000)</f>
        <v>3661.3532816090701</v>
      </c>
      <c r="C28" s="39">
        <f>IF(ISERROR(B28*3.6/1000000/'E Balans VL '!Z13*100),0,B28*3.6/1000000/'E Balans VL '!Z13*100)</f>
        <v>0.10329217737457683</v>
      </c>
      <c r="D28" s="235" t="s">
        <v>647</v>
      </c>
      <c r="F28" s="6"/>
    </row>
    <row r="29" spans="1:18">
      <c r="A29" s="230" t="s">
        <v>50</v>
      </c>
      <c r="B29" s="33">
        <f>IF(ISERROR(TER_gezond_ele_kWh/1000),0,TER_gezond_ele_kWh/1000)</f>
        <v>243.29251447651001</v>
      </c>
      <c r="C29" s="39">
        <f>IF(ISERROR(B29*3.6/1000000/'E Balans VL '!Z10*100),0,B29*3.6/1000000/'E Balans VL '!Z10*100)</f>
        <v>2.7014607896391252E-2</v>
      </c>
      <c r="D29" s="235" t="s">
        <v>647</v>
      </c>
      <c r="F29" s="6"/>
    </row>
    <row r="30" spans="1:18">
      <c r="A30" s="230" t="s">
        <v>49</v>
      </c>
      <c r="B30" s="33">
        <f>IF(ISERROR(TER_ander_ele_kWh/1000),0,TER_ander_ele_kWh/1000)</f>
        <v>1156.3490473878401</v>
      </c>
      <c r="C30" s="39">
        <f>IF(ISERROR(B30*3.6/1000000/'E Balans VL '!Z14*100),0,B30*3.6/1000000/'E Balans VL '!Z14*100)</f>
        <v>8.3436862324631419E-2</v>
      </c>
      <c r="D30" s="235" t="s">
        <v>647</v>
      </c>
      <c r="F30" s="6"/>
    </row>
    <row r="31" spans="1:18">
      <c r="A31" s="230" t="s">
        <v>54</v>
      </c>
      <c r="B31" s="33">
        <f>IF(ISERROR(TER_onderwijs_ele_kWh/1000),0,TER_onderwijs_ele_kWh/1000)</f>
        <v>933.30497484773002</v>
      </c>
      <c r="C31" s="39">
        <f>IF(ISERROR(B31*3.6/1000000/'E Balans VL '!Z11*100),0,B31*3.6/1000000/'E Balans VL '!Z11*100)</f>
        <v>0.25870474622192102</v>
      </c>
      <c r="D31" s="235" t="s">
        <v>647</v>
      </c>
    </row>
    <row r="32" spans="1:18">
      <c r="A32" s="230" t="s">
        <v>249</v>
      </c>
      <c r="B32" s="33">
        <f>IF(ISERROR(TER_rest_ele_kWh/1000),0,TER_rest_ele_kWh/1000)</f>
        <v>1815.16193809172</v>
      </c>
      <c r="C32" s="39">
        <f>IF(ISERROR(B32*3.6/1000000/'E Balans VL '!Z8*100),0,B32*3.6/1000000/'E Balans VL '!Z8*100)</f>
        <v>1.479653496897902E-2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5009.264712798431</v>
      </c>
      <c r="C5" s="17">
        <f>IF(ISERROR('Eigen informatie GS &amp; warmtenet'!B59),0,'Eigen informatie GS &amp; warmtenet'!B59)</f>
        <v>0</v>
      </c>
      <c r="D5" s="30">
        <f>SUM(D6:D15)</f>
        <v>29000.341810000002</v>
      </c>
      <c r="E5" s="17">
        <f>SUM(E6:E15)</f>
        <v>421.15293383507515</v>
      </c>
      <c r="F5" s="17">
        <f>SUM(F6:F15)</f>
        <v>1982.1539907528982</v>
      </c>
      <c r="G5" s="18"/>
      <c r="H5" s="17"/>
      <c r="I5" s="17"/>
      <c r="J5" s="17">
        <f>SUM(J6:J15)</f>
        <v>9.9489706447684334</v>
      </c>
      <c r="K5" s="17"/>
      <c r="L5" s="17"/>
      <c r="M5" s="17"/>
      <c r="N5" s="17">
        <f>SUM(N6:N15)</f>
        <v>360.02363450210032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84.196947408364991</v>
      </c>
      <c r="C8" s="33"/>
      <c r="D8" s="37">
        <f>IF( ISERROR(IND_metaal_Gas_kWH/1000),0,IND_metaal_Gas_kWH/1000)*0.902</f>
        <v>114.853464</v>
      </c>
      <c r="E8" s="33">
        <f>C30*'E Balans VL '!I18/100/3.6*1000000</f>
        <v>2.4184523661379034</v>
      </c>
      <c r="F8" s="33">
        <f>C30*'E Balans VL '!L18/100/3.6*1000000+C30*'E Balans VL '!N18/100/3.6*1000000</f>
        <v>21.594897670229525</v>
      </c>
      <c r="G8" s="34"/>
      <c r="H8" s="33"/>
      <c r="I8" s="33"/>
      <c r="J8" s="40">
        <f>C30*'E Balans VL '!D18/100/3.6*1000000+C30*'E Balans VL '!E18/100/3.6*1000000</f>
        <v>0</v>
      </c>
      <c r="K8" s="33"/>
      <c r="L8" s="33"/>
      <c r="M8" s="33"/>
      <c r="N8" s="33">
        <f>C30*'E Balans VL '!Y18/100/3.6*1000000</f>
        <v>2.2861189924569656</v>
      </c>
      <c r="O8" s="33"/>
      <c r="P8" s="33"/>
      <c r="R8" s="32"/>
    </row>
    <row r="9" spans="1:18">
      <c r="A9" s="6" t="s">
        <v>32</v>
      </c>
      <c r="B9" s="37">
        <f t="shared" si="0"/>
        <v>618.80744648826794</v>
      </c>
      <c r="C9" s="33"/>
      <c r="D9" s="37">
        <f>IF( ISERROR(IND_andere_gas_kWh/1000),0,IND_andere_gas_kWh/1000)*0.902</f>
        <v>1044.2246539999999</v>
      </c>
      <c r="E9" s="33">
        <f>C31*'E Balans VL '!I19/100/3.6*1000000</f>
        <v>167.49596112065919</v>
      </c>
      <c r="F9" s="33">
        <f>C31*'E Balans VL '!L19/100/3.6*1000000+C31*'E Balans VL '!N19/100/3.6*1000000</f>
        <v>412.19124286789105</v>
      </c>
      <c r="G9" s="34"/>
      <c r="H9" s="33"/>
      <c r="I9" s="33"/>
      <c r="J9" s="40">
        <f>C31*'E Balans VL '!D19/100/3.6*1000000+C31*'E Balans VL '!E19/100/3.6*1000000</f>
        <v>0</v>
      </c>
      <c r="K9" s="33"/>
      <c r="L9" s="33"/>
      <c r="M9" s="33"/>
      <c r="N9" s="33">
        <f>C31*'E Balans VL '!Y19/100/3.6*1000000</f>
        <v>52.316070469345348</v>
      </c>
      <c r="O9" s="33"/>
      <c r="P9" s="33"/>
      <c r="R9" s="32"/>
    </row>
    <row r="10" spans="1:18">
      <c r="A10" s="6" t="s">
        <v>40</v>
      </c>
      <c r="B10" s="37">
        <f t="shared" si="0"/>
        <v>426.79065160317799</v>
      </c>
      <c r="C10" s="33"/>
      <c r="D10" s="37">
        <f>IF( ISERROR(IND_voed_gas_kWh/1000),0,IND_voed_gas_kWh/1000)*0.902</f>
        <v>27718.238108000001</v>
      </c>
      <c r="E10" s="33">
        <f>C32*'E Balans VL '!I20/100/3.6*1000000</f>
        <v>34.810026070762632</v>
      </c>
      <c r="F10" s="33">
        <f>C32*'E Balans VL '!L20/100/3.6*1000000+C32*'E Balans VL '!N20/100/3.6*1000000</f>
        <v>636.38358338110947</v>
      </c>
      <c r="G10" s="34"/>
      <c r="H10" s="33"/>
      <c r="I10" s="33"/>
      <c r="J10" s="40">
        <f>C32*'E Balans VL '!D20/100/3.6*1000000+C32*'E Balans VL '!E20/100/3.6*1000000</f>
        <v>5.6459222663563071E-3</v>
      </c>
      <c r="K10" s="33"/>
      <c r="L10" s="33"/>
      <c r="M10" s="33"/>
      <c r="N10" s="33">
        <f>C32*'E Balans VL '!Y20/100/3.6*1000000</f>
        <v>125.37603362278659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3879.4696672986202</v>
      </c>
      <c r="C15" s="33"/>
      <c r="D15" s="37">
        <f>IF( ISERROR(IND_rest_gas_kWh/1000),0,IND_rest_gas_kWh/1000)*0.902</f>
        <v>123.02558399999999</v>
      </c>
      <c r="E15" s="33">
        <f>C37*'E Balans VL '!I15/100/3.6*1000000</f>
        <v>216.42849427751543</v>
      </c>
      <c r="F15" s="33">
        <f>C37*'E Balans VL '!L15/100/3.6*1000000+C37*'E Balans VL '!N15/100/3.6*1000000</f>
        <v>911.98426683366824</v>
      </c>
      <c r="G15" s="34"/>
      <c r="H15" s="33"/>
      <c r="I15" s="33"/>
      <c r="J15" s="40">
        <f>C37*'E Balans VL '!D15/100/3.6*1000000+C37*'E Balans VL '!E15/100/3.6*1000000</f>
        <v>9.9433247225020764</v>
      </c>
      <c r="K15" s="33"/>
      <c r="L15" s="33"/>
      <c r="M15" s="33"/>
      <c r="N15" s="33">
        <f>C37*'E Balans VL '!Y15/100/3.6*1000000</f>
        <v>180.04541141751142</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5009.264712798431</v>
      </c>
      <c r="C18" s="21">
        <f>C5+C16</f>
        <v>0</v>
      </c>
      <c r="D18" s="21">
        <f>MAX((D5+D16),0)</f>
        <v>29000.341810000002</v>
      </c>
      <c r="E18" s="21">
        <f>MAX((E5+E16),0)</f>
        <v>421.15293383507515</v>
      </c>
      <c r="F18" s="21">
        <f>MAX((F5+F16),0)</f>
        <v>1982.1539907528982</v>
      </c>
      <c r="G18" s="21"/>
      <c r="H18" s="21"/>
      <c r="I18" s="21"/>
      <c r="J18" s="21">
        <f>MAX((J5+J16),0)</f>
        <v>9.9489706447684334</v>
      </c>
      <c r="K18" s="21"/>
      <c r="L18" s="21">
        <f>MAX((L5+L16),0)</f>
        <v>0</v>
      </c>
      <c r="M18" s="21"/>
      <c r="N18" s="21">
        <f>MAX((N5+N16),0)</f>
        <v>360.02363450210032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0.20672863753037782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1035.5584691058191</v>
      </c>
      <c r="C22" s="23">
        <f ca="1">C18*C20</f>
        <v>0</v>
      </c>
      <c r="D22" s="23">
        <f>D18*D20</f>
        <v>5858.0690456200009</v>
      </c>
      <c r="E22" s="23">
        <f>E18*E20</f>
        <v>95.601715980562062</v>
      </c>
      <c r="F22" s="23">
        <f>F18*F20</f>
        <v>529.23511553102378</v>
      </c>
      <c r="G22" s="23"/>
      <c r="H22" s="23"/>
      <c r="I22" s="23"/>
      <c r="J22" s="23">
        <f>J18*J20</f>
        <v>3.5219356082480253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84.196947408364991</v>
      </c>
      <c r="C30" s="39">
        <f>IF(ISERROR(B30*3.6/1000000/'E Balans VL '!Z18*100),0,B30*3.6/1000000/'E Balans VL '!Z18*100)</f>
        <v>8.2847646930720165E-3</v>
      </c>
      <c r="D30" s="235" t="s">
        <v>647</v>
      </c>
    </row>
    <row r="31" spans="1:18">
      <c r="A31" s="6" t="s">
        <v>32</v>
      </c>
      <c r="B31" s="37">
        <f>IF( ISERROR(IND_ander_ele_kWh/1000),0,IND_ander_ele_kWh/1000)</f>
        <v>618.80744648826794</v>
      </c>
      <c r="C31" s="39">
        <f>IF(ISERROR(B31*3.6/1000000/'E Balans VL '!Z19*100),0,B31*3.6/1000000/'E Balans VL '!Z19*100)</f>
        <v>2.6948570676726465E-2</v>
      </c>
      <c r="D31" s="235" t="s">
        <v>647</v>
      </c>
    </row>
    <row r="32" spans="1:18">
      <c r="A32" s="170" t="s">
        <v>40</v>
      </c>
      <c r="B32" s="37">
        <f>IF( ISERROR(IND_voed_ele_kWh/1000),0,IND_voed_ele_kWh/1000)</f>
        <v>426.79065160317799</v>
      </c>
      <c r="C32" s="39">
        <f>IF(ISERROR(B32*3.6/1000000/'E Balans VL '!Z20*100),0,B32*3.6/1000000/'E Balans VL '!Z20*100)</f>
        <v>8.0977371150923919E-2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3879.4696672986202</v>
      </c>
      <c r="C37" s="39">
        <f>IF(ISERROR(B37*3.6/1000000/'E Balans VL '!Z15*100),0,B37*3.6/1000000/'E Balans VL '!Z15*100)</f>
        <v>2.9896078757483849E-2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332.30974756623397</v>
      </c>
      <c r="C5" s="17">
        <f>'Eigen informatie GS &amp; warmtenet'!B60</f>
        <v>0</v>
      </c>
      <c r="D5" s="30">
        <f>IF(ISERROR(SUM(LB_lb_gas_kWh,LB_rest_gas_kWh)/1000),0,SUM(LB_lb_gas_kWh,LB_rest_gas_kWh)/1000)*0.902</f>
        <v>109.65163</v>
      </c>
      <c r="E5" s="17">
        <f>B17*'E Balans VL '!I25/3.6*1000000/100</f>
        <v>6.9003155903788151</v>
      </c>
      <c r="F5" s="17">
        <f>B17*('E Balans VL '!L25/3.6*1000000+'E Balans VL '!N25/3.6*1000000)/100</f>
        <v>1174.3911274732075</v>
      </c>
      <c r="G5" s="18"/>
      <c r="H5" s="17"/>
      <c r="I5" s="17"/>
      <c r="J5" s="17">
        <f>('E Balans VL '!D25+'E Balans VL '!E25)/3.6*1000000*landbouw!B17/100</f>
        <v>38.113826243077902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332.30974756623397</v>
      </c>
      <c r="C8" s="21">
        <f>C5+C6</f>
        <v>0</v>
      </c>
      <c r="D8" s="21">
        <f>MAX((D5+D6),0)</f>
        <v>109.65163</v>
      </c>
      <c r="E8" s="21">
        <f>MAX((E5+E6),0)</f>
        <v>6.9003155903788151</v>
      </c>
      <c r="F8" s="21">
        <f>MAX((F5+F6),0)</f>
        <v>1174.3911274732075</v>
      </c>
      <c r="G8" s="21"/>
      <c r="H8" s="21"/>
      <c r="I8" s="21"/>
      <c r="J8" s="21">
        <f>MAX((J5+J6),0)</f>
        <v>38.113826243077902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0.20672863753037782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68.697941352431329</v>
      </c>
      <c r="C12" s="23">
        <f ca="1">C8*C10</f>
        <v>0</v>
      </c>
      <c r="D12" s="23">
        <f>D8*D10</f>
        <v>22.149629260000001</v>
      </c>
      <c r="E12" s="23">
        <f>E8*E10</f>
        <v>1.5663716390159912</v>
      </c>
      <c r="F12" s="23">
        <f>F8*F10</f>
        <v>313.56243103534644</v>
      </c>
      <c r="G12" s="23"/>
      <c r="H12" s="23"/>
      <c r="I12" s="23"/>
      <c r="J12" s="23">
        <f>J8*J10</f>
        <v>13.492294490049577</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4.6346735990211406E-2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102.86402688462415</v>
      </c>
      <c r="C26" s="245">
        <f>B26*'GWP N2O_CH4'!B5</f>
        <v>2160.1445645771073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12.645570915309396</v>
      </c>
      <c r="C27" s="245">
        <f>B27*'GWP N2O_CH4'!B5</f>
        <v>265.5569892214973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1.6187675735143976</v>
      </c>
      <c r="C28" s="245">
        <f>B28*'GWP N2O_CH4'!B4</f>
        <v>501.81794778946323</v>
      </c>
      <c r="D28" s="50"/>
    </row>
    <row r="29" spans="1:4">
      <c r="A29" s="41" t="s">
        <v>266</v>
      </c>
      <c r="B29" s="245">
        <f>B34*'ha_N2O bodem landbouw'!B4</f>
        <v>7.0585996244790081</v>
      </c>
      <c r="C29" s="245">
        <f>B29*'GWP N2O_CH4'!B4</f>
        <v>2188.1658835884923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1.7624617947364116E-3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3.0340975875712593E-5</v>
      </c>
      <c r="C5" s="434" t="s">
        <v>204</v>
      </c>
      <c r="D5" s="419">
        <f>SUM(D6:D11)</f>
        <v>2.7037568293174115E-5</v>
      </c>
      <c r="E5" s="419">
        <f>SUM(E6:E11)</f>
        <v>1.0815542413884014E-3</v>
      </c>
      <c r="F5" s="432" t="s">
        <v>204</v>
      </c>
      <c r="G5" s="419">
        <f>SUM(G6:G11)</f>
        <v>0.36505348727517717</v>
      </c>
      <c r="H5" s="419">
        <f>SUM(H6:H11)</f>
        <v>5.0774617465790629E-2</v>
      </c>
      <c r="I5" s="434" t="s">
        <v>204</v>
      </c>
      <c r="J5" s="434" t="s">
        <v>204</v>
      </c>
      <c r="K5" s="434" t="s">
        <v>204</v>
      </c>
      <c r="L5" s="434" t="s">
        <v>204</v>
      </c>
      <c r="M5" s="419">
        <f>SUM(M6:M11)</f>
        <v>1.8797042066667772E-2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8.1097755723737878E-6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7.1934353541229457E-6</v>
      </c>
      <c r="E6" s="836">
        <f>vkm_GW_PW*SUMIFS(TableVerdeelsleutelVkm[LPG],TableVerdeelsleutelVkm[Voertuigtype],"Lichte voertuigen")*SUMIFS(TableECFTransport[EnergieConsumptieFactor (PJ per km)],TableECFTransport[Index],CONCATENATE($A6,"_LPG_LPG"))</f>
        <v>2.5831032662273915E-4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5.1350654436383175E-2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1.3255858954193608E-2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2.9228108729935113E-3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1.5492465492042637E-7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2.4243404981932528E-2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6.3773705521317024E-7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1.0946309700922434E-3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4.080846265400409E-6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5.6949222728400752E-6</v>
      </c>
      <c r="E8" s="422">
        <f>vkm_NGW_PW*SUMIFS(TableVerdeelsleutelVkm[LPG],TableVerdeelsleutelVkm[Voertuigtype],"Lichte voertuigen")*SUMIFS(TableECFTransport[EnergieConsumptieFactor (PJ per km)],TableECFTransport[Index],CONCATENATE($A8,"_LPG_LPG"))</f>
        <v>1.9414844458565567E-4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3.6412247677764638E-2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1.005908240620218E-2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2.1026008783876847E-3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1.314348850716178E-8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2.6419450424697119E-3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6.5305267171961814E-8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1.1928812116971672E-4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1.7071015907254009E-5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1.4149210666211095E-5</v>
      </c>
      <c r="E10" s="422">
        <f>vkm_SW_PW*SUMIFS(TableVerdeelsleutelVkm[LPG],TableVerdeelsleutelVkm[Voertuigtype],"Lichte voertuigen")*SUMIFS(TableECFTransport[EnergieConsumptieFactor (PJ per km)],TableECFTransport[Index],CONCATENATE($A10,"_LPG_LPG"))</f>
        <v>6.2909547018000656E-4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0.11453709146131756</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2.7455112073569127E-2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6.4230203624850574E-3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9.1126998725679946E-7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0.13586814367530958</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3.8609895033269934E-6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6.1346908615395575E-3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8.4280488543646097</v>
      </c>
      <c r="C14" s="21"/>
      <c r="D14" s="21">
        <f t="shared" ref="D14:M14" si="0">((D5)*10^9/3600)+D12</f>
        <v>7.5104356369928098</v>
      </c>
      <c r="E14" s="21">
        <f t="shared" si="0"/>
        <v>300.43173371900042</v>
      </c>
      <c r="F14" s="21"/>
      <c r="G14" s="21">
        <f t="shared" si="0"/>
        <v>101403.746465327</v>
      </c>
      <c r="H14" s="21">
        <f t="shared" si="0"/>
        <v>14104.060407164065</v>
      </c>
      <c r="I14" s="21"/>
      <c r="J14" s="21"/>
      <c r="K14" s="21"/>
      <c r="L14" s="21"/>
      <c r="M14" s="21">
        <f t="shared" si="0"/>
        <v>5221.4005740743814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0.20672863753037782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1.7423190567022575</v>
      </c>
      <c r="C18" s="23"/>
      <c r="D18" s="23">
        <f t="shared" ref="D18:M18" si="1">D14*D16</f>
        <v>1.5171079986725478</v>
      </c>
      <c r="E18" s="23">
        <f t="shared" si="1"/>
        <v>68.198003554213102</v>
      </c>
      <c r="F18" s="23"/>
      <c r="G18" s="23">
        <f t="shared" si="1"/>
        <v>27074.800306242312</v>
      </c>
      <c r="H18" s="23">
        <f t="shared" si="1"/>
        <v>3511.9110413838521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3.0608954031540531E-5</v>
      </c>
      <c r="C50" s="316">
        <f t="shared" ref="C50:P50" si="2">SUM(C51:C52)</f>
        <v>0</v>
      </c>
      <c r="D50" s="316">
        <f t="shared" si="2"/>
        <v>0</v>
      </c>
      <c r="E50" s="316">
        <f t="shared" si="2"/>
        <v>0</v>
      </c>
      <c r="F50" s="316">
        <f t="shared" si="2"/>
        <v>0</v>
      </c>
      <c r="G50" s="316">
        <f t="shared" si="2"/>
        <v>5.9578597047470804E-3</v>
      </c>
      <c r="H50" s="316">
        <f t="shared" si="2"/>
        <v>0</v>
      </c>
      <c r="I50" s="316">
        <f t="shared" si="2"/>
        <v>0</v>
      </c>
      <c r="J50" s="316">
        <f t="shared" si="2"/>
        <v>0</v>
      </c>
      <c r="K50" s="316">
        <f t="shared" si="2"/>
        <v>0</v>
      </c>
      <c r="L50" s="316">
        <f t="shared" si="2"/>
        <v>0</v>
      </c>
      <c r="M50" s="316">
        <f t="shared" si="2"/>
        <v>2.6715543534376271E-4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3.0608954031540531E-5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5.9578597047470804E-3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2.6715543534376271E-4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8.5024872309834816</v>
      </c>
      <c r="C54" s="21">
        <f t="shared" ref="C54:P54" si="3">(C50)*10^9/3600</f>
        <v>0</v>
      </c>
      <c r="D54" s="21">
        <f t="shared" si="3"/>
        <v>0</v>
      </c>
      <c r="E54" s="21">
        <f t="shared" si="3"/>
        <v>0</v>
      </c>
      <c r="F54" s="21">
        <f t="shared" si="3"/>
        <v>0</v>
      </c>
      <c r="G54" s="21">
        <f t="shared" si="3"/>
        <v>1654.9610290964113</v>
      </c>
      <c r="H54" s="21">
        <f t="shared" si="3"/>
        <v>0</v>
      </c>
      <c r="I54" s="21">
        <f t="shared" si="3"/>
        <v>0</v>
      </c>
      <c r="J54" s="21">
        <f t="shared" si="3"/>
        <v>0</v>
      </c>
      <c r="K54" s="21">
        <f t="shared" si="3"/>
        <v>0</v>
      </c>
      <c r="L54" s="21">
        <f t="shared" si="3"/>
        <v>0</v>
      </c>
      <c r="M54" s="21">
        <f t="shared" si="3"/>
        <v>74.209843151045192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0.20672863753037782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1.75770760088065</v>
      </c>
      <c r="C58" s="23">
        <f t="shared" ref="C58:P58" ca="1" si="4">C54*C56</f>
        <v>0</v>
      </c>
      <c r="D58" s="23">
        <f t="shared" si="4"/>
        <v>0</v>
      </c>
      <c r="E58" s="23">
        <f t="shared" si="4"/>
        <v>0</v>
      </c>
      <c r="F58" s="23">
        <f t="shared" si="4"/>
        <v>0</v>
      </c>
      <c r="G58" s="23">
        <f t="shared" si="4"/>
        <v>441.87459476874182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3183.1677404055035</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3183.1677404055035</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12114.33760404587</v>
      </c>
      <c r="D10" s="640">
        <f ca="1">tertiair!C16</f>
        <v>0</v>
      </c>
      <c r="E10" s="640">
        <f ca="1">tertiair!D16</f>
        <v>14973.228863999999</v>
      </c>
      <c r="F10" s="640">
        <f>tertiair!E16</f>
        <v>62.694701970226042</v>
      </c>
      <c r="G10" s="640">
        <f ca="1">tertiair!F16</f>
        <v>1603.0491982291487</v>
      </c>
      <c r="H10" s="640">
        <f>tertiair!G16</f>
        <v>0</v>
      </c>
      <c r="I10" s="640">
        <f>tertiair!H16</f>
        <v>0</v>
      </c>
      <c r="J10" s="640">
        <f>tertiair!I16</f>
        <v>0</v>
      </c>
      <c r="K10" s="640">
        <f>tertiair!J16</f>
        <v>15.619597695930697</v>
      </c>
      <c r="L10" s="640">
        <f>tertiair!K16</f>
        <v>0</v>
      </c>
      <c r="M10" s="640">
        <f ca="1">tertiair!L16</f>
        <v>0</v>
      </c>
      <c r="N10" s="640">
        <f>tertiair!M16</f>
        <v>0</v>
      </c>
      <c r="O10" s="640">
        <f ca="1">tertiair!N16</f>
        <v>852.64490226390706</v>
      </c>
      <c r="P10" s="640">
        <f>tertiair!O16</f>
        <v>0</v>
      </c>
      <c r="Q10" s="641">
        <f>tertiair!P16</f>
        <v>19.066666666666666</v>
      </c>
      <c r="R10" s="643">
        <f ca="1">SUM(C10:Q10)</f>
        <v>29640.641534871749</v>
      </c>
      <c r="S10" s="67"/>
    </row>
    <row r="11" spans="1:19" s="444" customFormat="1">
      <c r="A11" s="754" t="s">
        <v>214</v>
      </c>
      <c r="B11" s="759"/>
      <c r="C11" s="640">
        <f>huishoudens!B8</f>
        <v>31217.701639084629</v>
      </c>
      <c r="D11" s="640">
        <f>huishoudens!C8</f>
        <v>0</v>
      </c>
      <c r="E11" s="640">
        <f>huishoudens!D8</f>
        <v>103667.87910487334</v>
      </c>
      <c r="F11" s="640">
        <f>huishoudens!E8</f>
        <v>745.35765156436401</v>
      </c>
      <c r="G11" s="640">
        <f>huishoudens!F8</f>
        <v>22841.837604933447</v>
      </c>
      <c r="H11" s="640">
        <f>huishoudens!G8</f>
        <v>0</v>
      </c>
      <c r="I11" s="640">
        <f>huishoudens!H8</f>
        <v>0</v>
      </c>
      <c r="J11" s="640">
        <f>huishoudens!I8</f>
        <v>0</v>
      </c>
      <c r="K11" s="640">
        <f>huishoudens!J8</f>
        <v>432.57892215544655</v>
      </c>
      <c r="L11" s="640">
        <f>huishoudens!K8</f>
        <v>0</v>
      </c>
      <c r="M11" s="640">
        <f>huishoudens!L8</f>
        <v>0</v>
      </c>
      <c r="N11" s="640">
        <f>huishoudens!M8</f>
        <v>0</v>
      </c>
      <c r="O11" s="640">
        <f>huishoudens!N8</f>
        <v>10966.312859364338</v>
      </c>
      <c r="P11" s="640">
        <f>huishoudens!O8</f>
        <v>109.43333333333334</v>
      </c>
      <c r="Q11" s="641">
        <f>huishoudens!P8</f>
        <v>228.8</v>
      </c>
      <c r="R11" s="643">
        <f>SUM(C11:Q11)</f>
        <v>170209.90111530889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5009.264712798431</v>
      </c>
      <c r="D13" s="640">
        <f>industrie!C18</f>
        <v>0</v>
      </c>
      <c r="E13" s="640">
        <f>industrie!D18</f>
        <v>29000.341810000002</v>
      </c>
      <c r="F13" s="640">
        <f>industrie!E18</f>
        <v>421.15293383507515</v>
      </c>
      <c r="G13" s="640">
        <f>industrie!F18</f>
        <v>1982.1539907528982</v>
      </c>
      <c r="H13" s="640">
        <f>industrie!G18</f>
        <v>0</v>
      </c>
      <c r="I13" s="640">
        <f>industrie!H18</f>
        <v>0</v>
      </c>
      <c r="J13" s="640">
        <f>industrie!I18</f>
        <v>0</v>
      </c>
      <c r="K13" s="640">
        <f>industrie!J18</f>
        <v>9.9489706447684334</v>
      </c>
      <c r="L13" s="640">
        <f>industrie!K18</f>
        <v>0</v>
      </c>
      <c r="M13" s="640">
        <f>industrie!L18</f>
        <v>0</v>
      </c>
      <c r="N13" s="640">
        <f>industrie!M18</f>
        <v>0</v>
      </c>
      <c r="O13" s="640">
        <f>industrie!N18</f>
        <v>360.02363450210032</v>
      </c>
      <c r="P13" s="640">
        <f>industrie!O18</f>
        <v>0</v>
      </c>
      <c r="Q13" s="641">
        <f>industrie!P18</f>
        <v>0</v>
      </c>
      <c r="R13" s="643">
        <f>SUM(C13:Q13)</f>
        <v>36782.886052533286</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48341.303955928932</v>
      </c>
      <c r="D16" s="675">
        <f t="shared" ref="D16:R16" ca="1" si="0">SUM(D9:D15)</f>
        <v>0</v>
      </c>
      <c r="E16" s="675">
        <f t="shared" ca="1" si="0"/>
        <v>147641.44977887336</v>
      </c>
      <c r="F16" s="675">
        <f t="shared" si="0"/>
        <v>1229.2052873696653</v>
      </c>
      <c r="G16" s="675">
        <f t="shared" ca="1" si="0"/>
        <v>26427.040793915494</v>
      </c>
      <c r="H16" s="675">
        <f t="shared" si="0"/>
        <v>0</v>
      </c>
      <c r="I16" s="675">
        <f t="shared" si="0"/>
        <v>0</v>
      </c>
      <c r="J16" s="675">
        <f t="shared" si="0"/>
        <v>0</v>
      </c>
      <c r="K16" s="675">
        <f t="shared" si="0"/>
        <v>458.14749049614568</v>
      </c>
      <c r="L16" s="675">
        <f t="shared" si="0"/>
        <v>0</v>
      </c>
      <c r="M16" s="675">
        <f t="shared" ca="1" si="0"/>
        <v>0</v>
      </c>
      <c r="N16" s="675">
        <f t="shared" si="0"/>
        <v>0</v>
      </c>
      <c r="O16" s="675">
        <f t="shared" ca="1" si="0"/>
        <v>12178.981396130344</v>
      </c>
      <c r="P16" s="675">
        <f t="shared" si="0"/>
        <v>109.43333333333334</v>
      </c>
      <c r="Q16" s="675">
        <f t="shared" si="0"/>
        <v>247.86666666666667</v>
      </c>
      <c r="R16" s="675">
        <f t="shared" ca="1" si="0"/>
        <v>236633.42870271392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8.5024872309834816</v>
      </c>
      <c r="D19" s="640">
        <f>transport!C54</f>
        <v>0</v>
      </c>
      <c r="E19" s="640">
        <f>transport!D54</f>
        <v>0</v>
      </c>
      <c r="F19" s="640">
        <f>transport!E54</f>
        <v>0</v>
      </c>
      <c r="G19" s="640">
        <f>transport!F54</f>
        <v>0</v>
      </c>
      <c r="H19" s="640">
        <f>transport!G54</f>
        <v>1654.9610290964113</v>
      </c>
      <c r="I19" s="640">
        <f>transport!H54</f>
        <v>0</v>
      </c>
      <c r="J19" s="640">
        <f>transport!I54</f>
        <v>0</v>
      </c>
      <c r="K19" s="640">
        <f>transport!J54</f>
        <v>0</v>
      </c>
      <c r="L19" s="640">
        <f>transport!K54</f>
        <v>0</v>
      </c>
      <c r="M19" s="640">
        <f>transport!L54</f>
        <v>0</v>
      </c>
      <c r="N19" s="640">
        <f>transport!M54</f>
        <v>74.209843151045192</v>
      </c>
      <c r="O19" s="640">
        <f>transport!N54</f>
        <v>0</v>
      </c>
      <c r="P19" s="640">
        <f>transport!O54</f>
        <v>0</v>
      </c>
      <c r="Q19" s="641">
        <f>transport!P54</f>
        <v>0</v>
      </c>
      <c r="R19" s="643">
        <f>SUM(C19:Q19)</f>
        <v>1737.6733594784398</v>
      </c>
      <c r="S19" s="67"/>
    </row>
    <row r="20" spans="1:19" s="444" customFormat="1">
      <c r="A20" s="754" t="s">
        <v>296</v>
      </c>
      <c r="B20" s="759"/>
      <c r="C20" s="640">
        <f>transport!B14</f>
        <v>8.4280488543646097</v>
      </c>
      <c r="D20" s="640">
        <f>transport!C14</f>
        <v>0</v>
      </c>
      <c r="E20" s="640">
        <f>transport!D14</f>
        <v>7.5104356369928098</v>
      </c>
      <c r="F20" s="640">
        <f>transport!E14</f>
        <v>300.43173371900042</v>
      </c>
      <c r="G20" s="640">
        <f>transport!F14</f>
        <v>0</v>
      </c>
      <c r="H20" s="640">
        <f>transport!G14</f>
        <v>101403.746465327</v>
      </c>
      <c r="I20" s="640">
        <f>transport!H14</f>
        <v>14104.060407164065</v>
      </c>
      <c r="J20" s="640">
        <f>transport!I14</f>
        <v>0</v>
      </c>
      <c r="K20" s="640">
        <f>transport!J14</f>
        <v>0</v>
      </c>
      <c r="L20" s="640">
        <f>transport!K14</f>
        <v>0</v>
      </c>
      <c r="M20" s="640">
        <f>transport!L14</f>
        <v>0</v>
      </c>
      <c r="N20" s="640">
        <f>transport!M14</f>
        <v>5221.4005740743814</v>
      </c>
      <c r="O20" s="640">
        <f>transport!N14</f>
        <v>0</v>
      </c>
      <c r="P20" s="640">
        <f>transport!O14</f>
        <v>0</v>
      </c>
      <c r="Q20" s="641">
        <f>transport!P14</f>
        <v>0</v>
      </c>
      <c r="R20" s="643">
        <f>SUM(C20:Q20)</f>
        <v>121045.5776647758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16.930536085348091</v>
      </c>
      <c r="D22" s="757">
        <f t="shared" ref="D22:R22" si="1">SUM(D18:D21)</f>
        <v>0</v>
      </c>
      <c r="E22" s="757">
        <f t="shared" si="1"/>
        <v>7.5104356369928098</v>
      </c>
      <c r="F22" s="757">
        <f t="shared" si="1"/>
        <v>300.43173371900042</v>
      </c>
      <c r="G22" s="757">
        <f t="shared" si="1"/>
        <v>0</v>
      </c>
      <c r="H22" s="757">
        <f t="shared" si="1"/>
        <v>103058.7074944234</v>
      </c>
      <c r="I22" s="757">
        <f t="shared" si="1"/>
        <v>14104.060407164065</v>
      </c>
      <c r="J22" s="757">
        <f t="shared" si="1"/>
        <v>0</v>
      </c>
      <c r="K22" s="757">
        <f t="shared" si="1"/>
        <v>0</v>
      </c>
      <c r="L22" s="757">
        <f t="shared" si="1"/>
        <v>0</v>
      </c>
      <c r="M22" s="757">
        <f t="shared" si="1"/>
        <v>0</v>
      </c>
      <c r="N22" s="757">
        <f t="shared" si="1"/>
        <v>5295.6104172254263</v>
      </c>
      <c r="O22" s="757">
        <f t="shared" si="1"/>
        <v>0</v>
      </c>
      <c r="P22" s="757">
        <f t="shared" si="1"/>
        <v>0</v>
      </c>
      <c r="Q22" s="757">
        <f t="shared" si="1"/>
        <v>0</v>
      </c>
      <c r="R22" s="757">
        <f t="shared" si="1"/>
        <v>122783.25102425425</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332.30974756623397</v>
      </c>
      <c r="D24" s="640">
        <f>+landbouw!C8</f>
        <v>0</v>
      </c>
      <c r="E24" s="640">
        <f>+landbouw!D8</f>
        <v>109.65163</v>
      </c>
      <c r="F24" s="640">
        <f>+landbouw!E8</f>
        <v>6.9003155903788151</v>
      </c>
      <c r="G24" s="640">
        <f>+landbouw!F8</f>
        <v>1174.3911274732075</v>
      </c>
      <c r="H24" s="640">
        <f>+landbouw!G8</f>
        <v>0</v>
      </c>
      <c r="I24" s="640">
        <f>+landbouw!H8</f>
        <v>0</v>
      </c>
      <c r="J24" s="640">
        <f>+landbouw!I8</f>
        <v>0</v>
      </c>
      <c r="K24" s="640">
        <f>+landbouw!J8</f>
        <v>38.113826243077902</v>
      </c>
      <c r="L24" s="640">
        <f>+landbouw!K8</f>
        <v>0</v>
      </c>
      <c r="M24" s="640">
        <f>+landbouw!L8</f>
        <v>0</v>
      </c>
      <c r="N24" s="640">
        <f>+landbouw!M8</f>
        <v>0</v>
      </c>
      <c r="O24" s="640">
        <f>+landbouw!N8</f>
        <v>0</v>
      </c>
      <c r="P24" s="640">
        <f>+landbouw!O8</f>
        <v>0</v>
      </c>
      <c r="Q24" s="641">
        <f>+landbouw!P8</f>
        <v>0</v>
      </c>
      <c r="R24" s="643">
        <f>SUM(C24:Q24)</f>
        <v>1661.3666468728982</v>
      </c>
      <c r="S24" s="67"/>
    </row>
    <row r="25" spans="1:19" s="444" customFormat="1" ht="15" thickBot="1">
      <c r="A25" s="776" t="s">
        <v>806</v>
      </c>
      <c r="B25" s="939"/>
      <c r="C25" s="940">
        <f>IF(Onbekend_ele_kWh="---",0,Onbekend_ele_kWh)/1000+IF(REST_rest_ele_kWh="---",0,REST_rest_ele_kWh)/1000</f>
        <v>602.5819161761151</v>
      </c>
      <c r="D25" s="940"/>
      <c r="E25" s="940">
        <f>IF(onbekend_gas_kWh="---",0,onbekend_gas_kWh)/1000+IF(REST_rest_gas_kWh="---",0,REST_rest_gas_kWh)/1000</f>
        <v>3203.7779999999998</v>
      </c>
      <c r="F25" s="940"/>
      <c r="G25" s="940"/>
      <c r="H25" s="940"/>
      <c r="I25" s="940"/>
      <c r="J25" s="940"/>
      <c r="K25" s="940"/>
      <c r="L25" s="940"/>
      <c r="M25" s="940"/>
      <c r="N25" s="940"/>
      <c r="O25" s="940"/>
      <c r="P25" s="940"/>
      <c r="Q25" s="941"/>
      <c r="R25" s="643">
        <f>SUM(C25:Q25)</f>
        <v>3806.3599161761149</v>
      </c>
      <c r="S25" s="67"/>
    </row>
    <row r="26" spans="1:19" s="444" customFormat="1" ht="15.75" thickBot="1">
      <c r="A26" s="648" t="s">
        <v>807</v>
      </c>
      <c r="B26" s="762"/>
      <c r="C26" s="757">
        <f>SUM(C24:C25)</f>
        <v>934.89166374234901</v>
      </c>
      <c r="D26" s="757">
        <f t="shared" ref="D26:R26" si="2">SUM(D24:D25)</f>
        <v>0</v>
      </c>
      <c r="E26" s="757">
        <f t="shared" si="2"/>
        <v>3313.4296299999996</v>
      </c>
      <c r="F26" s="757">
        <f t="shared" si="2"/>
        <v>6.9003155903788151</v>
      </c>
      <c r="G26" s="757">
        <f t="shared" si="2"/>
        <v>1174.3911274732075</v>
      </c>
      <c r="H26" s="757">
        <f t="shared" si="2"/>
        <v>0</v>
      </c>
      <c r="I26" s="757">
        <f t="shared" si="2"/>
        <v>0</v>
      </c>
      <c r="J26" s="757">
        <f t="shared" si="2"/>
        <v>0</v>
      </c>
      <c r="K26" s="757">
        <f t="shared" si="2"/>
        <v>38.113826243077902</v>
      </c>
      <c r="L26" s="757">
        <f t="shared" si="2"/>
        <v>0</v>
      </c>
      <c r="M26" s="757">
        <f t="shared" si="2"/>
        <v>0</v>
      </c>
      <c r="N26" s="757">
        <f t="shared" si="2"/>
        <v>0</v>
      </c>
      <c r="O26" s="757">
        <f t="shared" si="2"/>
        <v>0</v>
      </c>
      <c r="P26" s="757">
        <f t="shared" si="2"/>
        <v>0</v>
      </c>
      <c r="Q26" s="757">
        <f t="shared" si="2"/>
        <v>0</v>
      </c>
      <c r="R26" s="757">
        <f t="shared" si="2"/>
        <v>5467.7265630490128</v>
      </c>
      <c r="S26" s="67"/>
    </row>
    <row r="27" spans="1:19" s="444" customFormat="1" ht="17.25" thickTop="1" thickBot="1">
      <c r="A27" s="649" t="s">
        <v>109</v>
      </c>
      <c r="B27" s="749"/>
      <c r="C27" s="650">
        <f ca="1">C22+C16+C26</f>
        <v>49293.126155756625</v>
      </c>
      <c r="D27" s="650">
        <f t="shared" ref="D27:R27" ca="1" si="3">D22+D16+D26</f>
        <v>0</v>
      </c>
      <c r="E27" s="650">
        <f t="shared" ca="1" si="3"/>
        <v>150962.38984451036</v>
      </c>
      <c r="F27" s="650">
        <f t="shared" si="3"/>
        <v>1536.5373366790445</v>
      </c>
      <c r="G27" s="650">
        <f t="shared" ca="1" si="3"/>
        <v>27601.431921388703</v>
      </c>
      <c r="H27" s="650">
        <f t="shared" si="3"/>
        <v>103058.7074944234</v>
      </c>
      <c r="I27" s="650">
        <f t="shared" si="3"/>
        <v>14104.060407164065</v>
      </c>
      <c r="J27" s="650">
        <f t="shared" si="3"/>
        <v>0</v>
      </c>
      <c r="K27" s="650">
        <f t="shared" si="3"/>
        <v>496.26131673922356</v>
      </c>
      <c r="L27" s="650">
        <f t="shared" si="3"/>
        <v>0</v>
      </c>
      <c r="M27" s="650">
        <f t="shared" ca="1" si="3"/>
        <v>0</v>
      </c>
      <c r="N27" s="650">
        <f t="shared" si="3"/>
        <v>5295.6104172254263</v>
      </c>
      <c r="O27" s="650">
        <f t="shared" ca="1" si="3"/>
        <v>12178.981396130344</v>
      </c>
      <c r="P27" s="650">
        <f t="shared" si="3"/>
        <v>109.43333333333334</v>
      </c>
      <c r="Q27" s="650">
        <f t="shared" si="3"/>
        <v>247.86666666666667</v>
      </c>
      <c r="R27" s="650">
        <f t="shared" ca="1" si="3"/>
        <v>364884.40629001718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2504.3805074674242</v>
      </c>
      <c r="D40" s="640">
        <f ca="1">tertiair!C20</f>
        <v>0</v>
      </c>
      <c r="E40" s="640">
        <f ca="1">tertiair!D20</f>
        <v>3024.5922305280001</v>
      </c>
      <c r="F40" s="640">
        <f>tertiair!E20</f>
        <v>14.231697347241312</v>
      </c>
      <c r="G40" s="640">
        <f ca="1">tertiair!F20</f>
        <v>428.01413592718274</v>
      </c>
      <c r="H40" s="640">
        <f>tertiair!G20</f>
        <v>0</v>
      </c>
      <c r="I40" s="640">
        <f>tertiair!H20</f>
        <v>0</v>
      </c>
      <c r="J40" s="640">
        <f>tertiair!I20</f>
        <v>0</v>
      </c>
      <c r="K40" s="640">
        <f>tertiair!J20</f>
        <v>5.5293375843594665</v>
      </c>
      <c r="L40" s="640">
        <f>tertiair!K20</f>
        <v>0</v>
      </c>
      <c r="M40" s="640">
        <f ca="1">tertiair!L20</f>
        <v>0</v>
      </c>
      <c r="N40" s="640">
        <f>tertiair!M20</f>
        <v>0</v>
      </c>
      <c r="O40" s="640">
        <f ca="1">tertiair!N20</f>
        <v>0</v>
      </c>
      <c r="P40" s="640">
        <f>tertiair!O20</f>
        <v>0</v>
      </c>
      <c r="Q40" s="717">
        <f>tertiair!P20</f>
        <v>0</v>
      </c>
      <c r="R40" s="795">
        <f t="shared" ca="1" si="4"/>
        <v>5976.7479088542077</v>
      </c>
    </row>
    <row r="41" spans="1:18">
      <c r="A41" s="767" t="s">
        <v>214</v>
      </c>
      <c r="B41" s="774"/>
      <c r="C41" s="640">
        <f ca="1">huishoudens!B12</f>
        <v>6453.5929266778076</v>
      </c>
      <c r="D41" s="640">
        <f ca="1">huishoudens!C12</f>
        <v>0</v>
      </c>
      <c r="E41" s="640">
        <f>huishoudens!D12</f>
        <v>20940.911579184416</v>
      </c>
      <c r="F41" s="640">
        <f>huishoudens!E12</f>
        <v>169.19618690511064</v>
      </c>
      <c r="G41" s="640">
        <f>huishoudens!F12</f>
        <v>6098.7706405172312</v>
      </c>
      <c r="H41" s="640">
        <f>huishoudens!G12</f>
        <v>0</v>
      </c>
      <c r="I41" s="640">
        <f>huishoudens!H12</f>
        <v>0</v>
      </c>
      <c r="J41" s="640">
        <f>huishoudens!I12</f>
        <v>0</v>
      </c>
      <c r="K41" s="640">
        <f>huishoudens!J12</f>
        <v>153.13293844302808</v>
      </c>
      <c r="L41" s="640">
        <f>huishoudens!K12</f>
        <v>0</v>
      </c>
      <c r="M41" s="640">
        <f>huishoudens!L12</f>
        <v>0</v>
      </c>
      <c r="N41" s="640">
        <f>huishoudens!M12</f>
        <v>0</v>
      </c>
      <c r="O41" s="640">
        <f>huishoudens!N12</f>
        <v>0</v>
      </c>
      <c r="P41" s="640">
        <f>huishoudens!O12</f>
        <v>0</v>
      </c>
      <c r="Q41" s="717">
        <f>huishoudens!P12</f>
        <v>0</v>
      </c>
      <c r="R41" s="795">
        <f t="shared" ca="1" si="4"/>
        <v>33815.604271727592</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1035.5584691058191</v>
      </c>
      <c r="D43" s="640">
        <f ca="1">industrie!C22</f>
        <v>0</v>
      </c>
      <c r="E43" s="640">
        <f>industrie!D22</f>
        <v>5858.0690456200009</v>
      </c>
      <c r="F43" s="640">
        <f>industrie!E22</f>
        <v>95.601715980562062</v>
      </c>
      <c r="G43" s="640">
        <f>industrie!F22</f>
        <v>529.23511553102378</v>
      </c>
      <c r="H43" s="640">
        <f>industrie!G22</f>
        <v>0</v>
      </c>
      <c r="I43" s="640">
        <f>industrie!H22</f>
        <v>0</v>
      </c>
      <c r="J43" s="640">
        <f>industrie!I22</f>
        <v>0</v>
      </c>
      <c r="K43" s="640">
        <f>industrie!J22</f>
        <v>3.5219356082480253</v>
      </c>
      <c r="L43" s="640">
        <f>industrie!K22</f>
        <v>0</v>
      </c>
      <c r="M43" s="640">
        <f>industrie!L22</f>
        <v>0</v>
      </c>
      <c r="N43" s="640">
        <f>industrie!M22</f>
        <v>0</v>
      </c>
      <c r="O43" s="640">
        <f>industrie!N22</f>
        <v>0</v>
      </c>
      <c r="P43" s="640">
        <f>industrie!O22</f>
        <v>0</v>
      </c>
      <c r="Q43" s="717">
        <f>industrie!P22</f>
        <v>0</v>
      </c>
      <c r="R43" s="794">
        <f t="shared" ca="1" si="4"/>
        <v>7521.986281845654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9993.5319032510506</v>
      </c>
      <c r="D46" s="675">
        <f t="shared" ref="D46:Q46" ca="1" si="5">SUM(D39:D45)</f>
        <v>0</v>
      </c>
      <c r="E46" s="675">
        <f t="shared" ca="1" si="5"/>
        <v>29823.572855332415</v>
      </c>
      <c r="F46" s="675">
        <f t="shared" si="5"/>
        <v>279.02960023291405</v>
      </c>
      <c r="G46" s="675">
        <f t="shared" ca="1" si="5"/>
        <v>7056.0198919754375</v>
      </c>
      <c r="H46" s="675">
        <f t="shared" si="5"/>
        <v>0</v>
      </c>
      <c r="I46" s="675">
        <f t="shared" si="5"/>
        <v>0</v>
      </c>
      <c r="J46" s="675">
        <f t="shared" si="5"/>
        <v>0</v>
      </c>
      <c r="K46" s="675">
        <f t="shared" si="5"/>
        <v>162.18421163563556</v>
      </c>
      <c r="L46" s="675">
        <f t="shared" si="5"/>
        <v>0</v>
      </c>
      <c r="M46" s="675">
        <f t="shared" ca="1" si="5"/>
        <v>0</v>
      </c>
      <c r="N46" s="675">
        <f t="shared" si="5"/>
        <v>0</v>
      </c>
      <c r="O46" s="675">
        <f t="shared" ca="1" si="5"/>
        <v>0</v>
      </c>
      <c r="P46" s="675">
        <f t="shared" si="5"/>
        <v>0</v>
      </c>
      <c r="Q46" s="675">
        <f t="shared" si="5"/>
        <v>0</v>
      </c>
      <c r="R46" s="675">
        <f ca="1">SUM(R39:R45)</f>
        <v>47314.338462427455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1.75770760088065</v>
      </c>
      <c r="D49" s="640">
        <f ca="1">transport!C58</f>
        <v>0</v>
      </c>
      <c r="E49" s="640">
        <f>transport!D58</f>
        <v>0</v>
      </c>
      <c r="F49" s="640">
        <f>transport!E58</f>
        <v>0</v>
      </c>
      <c r="G49" s="640">
        <f>transport!F58</f>
        <v>0</v>
      </c>
      <c r="H49" s="640">
        <f>transport!G58</f>
        <v>441.87459476874182</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443.63230236962249</v>
      </c>
    </row>
    <row r="50" spans="1:18">
      <c r="A50" s="770" t="s">
        <v>296</v>
      </c>
      <c r="B50" s="780"/>
      <c r="C50" s="646">
        <f ca="1">transport!B18</f>
        <v>1.7423190567022575</v>
      </c>
      <c r="D50" s="646">
        <f>transport!C18</f>
        <v>0</v>
      </c>
      <c r="E50" s="646">
        <f>transport!D18</f>
        <v>1.5171079986725478</v>
      </c>
      <c r="F50" s="646">
        <f>transport!E18</f>
        <v>68.198003554213102</v>
      </c>
      <c r="G50" s="646">
        <f>transport!F18</f>
        <v>0</v>
      </c>
      <c r="H50" s="646">
        <f>transport!G18</f>
        <v>27074.800306242312</v>
      </c>
      <c r="I50" s="646">
        <f>transport!H18</f>
        <v>3511.9110413838521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30658.168778235755</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3.5000266575829073</v>
      </c>
      <c r="D52" s="675">
        <f t="shared" ref="D52:Q52" ca="1" si="6">SUM(D48:D51)</f>
        <v>0</v>
      </c>
      <c r="E52" s="675">
        <f t="shared" si="6"/>
        <v>1.5171079986725478</v>
      </c>
      <c r="F52" s="675">
        <f t="shared" si="6"/>
        <v>68.198003554213102</v>
      </c>
      <c r="G52" s="675">
        <f t="shared" si="6"/>
        <v>0</v>
      </c>
      <c r="H52" s="675">
        <f t="shared" si="6"/>
        <v>27516.674901011054</v>
      </c>
      <c r="I52" s="675">
        <f t="shared" si="6"/>
        <v>3511.9110413838521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31101.801080605379</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68.697941352431329</v>
      </c>
      <c r="D54" s="646">
        <f ca="1">+landbouw!C12</f>
        <v>0</v>
      </c>
      <c r="E54" s="646">
        <f>+landbouw!D12</f>
        <v>22.149629260000001</v>
      </c>
      <c r="F54" s="646">
        <f>+landbouw!E12</f>
        <v>1.5663716390159912</v>
      </c>
      <c r="G54" s="646">
        <f>+landbouw!F12</f>
        <v>313.56243103534644</v>
      </c>
      <c r="H54" s="646">
        <f>+landbouw!G12</f>
        <v>0</v>
      </c>
      <c r="I54" s="646">
        <f>+landbouw!H12</f>
        <v>0</v>
      </c>
      <c r="J54" s="646">
        <f>+landbouw!I12</f>
        <v>0</v>
      </c>
      <c r="K54" s="646">
        <f>+landbouw!J12</f>
        <v>13.492294490049577</v>
      </c>
      <c r="L54" s="646">
        <f>+landbouw!K12</f>
        <v>0</v>
      </c>
      <c r="M54" s="646">
        <f>+landbouw!L12</f>
        <v>0</v>
      </c>
      <c r="N54" s="646">
        <f>+landbouw!M12</f>
        <v>0</v>
      </c>
      <c r="O54" s="646">
        <f>+landbouw!N12</f>
        <v>0</v>
      </c>
      <c r="P54" s="646">
        <f>+landbouw!O12</f>
        <v>0</v>
      </c>
      <c r="Q54" s="647">
        <f>+landbouw!P12</f>
        <v>0</v>
      </c>
      <c r="R54" s="674">
        <f ca="1">SUM(C54:Q54)</f>
        <v>419.46866777684335</v>
      </c>
    </row>
    <row r="55" spans="1:18" ht="15" thickBot="1">
      <c r="A55" s="770" t="s">
        <v>806</v>
      </c>
      <c r="B55" s="780"/>
      <c r="C55" s="646">
        <f ca="1">C25*'EF ele_warmte'!B12</f>
        <v>124.5709385315326</v>
      </c>
      <c r="D55" s="646"/>
      <c r="E55" s="646">
        <f>E25*EF_CO2_aardgas</f>
        <v>647.16315599999996</v>
      </c>
      <c r="F55" s="646"/>
      <c r="G55" s="646"/>
      <c r="H55" s="646"/>
      <c r="I55" s="646"/>
      <c r="J55" s="646"/>
      <c r="K55" s="646"/>
      <c r="L55" s="646"/>
      <c r="M55" s="646"/>
      <c r="N55" s="646"/>
      <c r="O55" s="646"/>
      <c r="P55" s="646"/>
      <c r="Q55" s="647"/>
      <c r="R55" s="674">
        <f ca="1">SUM(C55:Q55)</f>
        <v>771.73409453153261</v>
      </c>
    </row>
    <row r="56" spans="1:18" ht="15.75" thickBot="1">
      <c r="A56" s="768" t="s">
        <v>807</v>
      </c>
      <c r="B56" s="781"/>
      <c r="C56" s="675">
        <f ca="1">SUM(C54:C55)</f>
        <v>193.26887988396393</v>
      </c>
      <c r="D56" s="675">
        <f t="shared" ref="D56:Q56" ca="1" si="7">SUM(D54:D55)</f>
        <v>0</v>
      </c>
      <c r="E56" s="675">
        <f t="shared" si="7"/>
        <v>669.31278525999994</v>
      </c>
      <c r="F56" s="675">
        <f t="shared" si="7"/>
        <v>1.5663716390159912</v>
      </c>
      <c r="G56" s="675">
        <f t="shared" si="7"/>
        <v>313.56243103534644</v>
      </c>
      <c r="H56" s="675">
        <f t="shared" si="7"/>
        <v>0</v>
      </c>
      <c r="I56" s="675">
        <f t="shared" si="7"/>
        <v>0</v>
      </c>
      <c r="J56" s="675">
        <f t="shared" si="7"/>
        <v>0</v>
      </c>
      <c r="K56" s="675">
        <f t="shared" si="7"/>
        <v>13.492294490049577</v>
      </c>
      <c r="L56" s="675">
        <f t="shared" si="7"/>
        <v>0</v>
      </c>
      <c r="M56" s="675">
        <f t="shared" si="7"/>
        <v>0</v>
      </c>
      <c r="N56" s="675">
        <f t="shared" si="7"/>
        <v>0</v>
      </c>
      <c r="O56" s="675">
        <f t="shared" si="7"/>
        <v>0</v>
      </c>
      <c r="P56" s="675">
        <f t="shared" si="7"/>
        <v>0</v>
      </c>
      <c r="Q56" s="676">
        <f t="shared" si="7"/>
        <v>0</v>
      </c>
      <c r="R56" s="677">
        <f ca="1">SUM(R54:R55)</f>
        <v>1191.2027623083759</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10190.300809792598</v>
      </c>
      <c r="D61" s="683">
        <f t="shared" ref="D61:Q61" ca="1" si="8">D46+D52+D56</f>
        <v>0</v>
      </c>
      <c r="E61" s="683">
        <f t="shared" ca="1" si="8"/>
        <v>30494.402748591088</v>
      </c>
      <c r="F61" s="683">
        <f t="shared" si="8"/>
        <v>348.79397542614311</v>
      </c>
      <c r="G61" s="683">
        <f t="shared" ca="1" si="8"/>
        <v>7369.5823230107835</v>
      </c>
      <c r="H61" s="683">
        <f t="shared" si="8"/>
        <v>27516.674901011054</v>
      </c>
      <c r="I61" s="683">
        <f t="shared" si="8"/>
        <v>3511.9110413838521</v>
      </c>
      <c r="J61" s="683">
        <f t="shared" si="8"/>
        <v>0</v>
      </c>
      <c r="K61" s="683">
        <f t="shared" si="8"/>
        <v>175.67650612568514</v>
      </c>
      <c r="L61" s="683">
        <f t="shared" si="8"/>
        <v>0</v>
      </c>
      <c r="M61" s="683">
        <f t="shared" ca="1" si="8"/>
        <v>0</v>
      </c>
      <c r="N61" s="683">
        <f t="shared" si="8"/>
        <v>0</v>
      </c>
      <c r="O61" s="683">
        <f t="shared" ca="1" si="8"/>
        <v>0</v>
      </c>
      <c r="P61" s="683">
        <f t="shared" si="8"/>
        <v>0</v>
      </c>
      <c r="Q61" s="683">
        <f t="shared" si="8"/>
        <v>0</v>
      </c>
      <c r="R61" s="683">
        <f ca="1">R46+R52+R56</f>
        <v>79607.342305341197</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0.20672863753037782</v>
      </c>
      <c r="D63" s="726">
        <f t="shared" ca="1" si="9"/>
        <v>0</v>
      </c>
      <c r="E63" s="946">
        <f t="shared" ca="1" si="9"/>
        <v>0.20199999999999999</v>
      </c>
      <c r="F63" s="726">
        <f t="shared" si="9"/>
        <v>0.22700000000000001</v>
      </c>
      <c r="G63" s="726">
        <f t="shared" ca="1" si="9"/>
        <v>0.26700000000000002</v>
      </c>
      <c r="H63" s="726">
        <f t="shared" si="9"/>
        <v>0.26700000000000007</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3183.1677404055035</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3183.1677404055035</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31217.701639084629</v>
      </c>
      <c r="C4" s="448">
        <f>huishoudens!C8</f>
        <v>0</v>
      </c>
      <c r="D4" s="448">
        <f>huishoudens!D8</f>
        <v>103667.87910487334</v>
      </c>
      <c r="E4" s="448">
        <f>huishoudens!E8</f>
        <v>745.35765156436401</v>
      </c>
      <c r="F4" s="448">
        <f>huishoudens!F8</f>
        <v>22841.837604933447</v>
      </c>
      <c r="G4" s="448">
        <f>huishoudens!G8</f>
        <v>0</v>
      </c>
      <c r="H4" s="448">
        <f>huishoudens!H8</f>
        <v>0</v>
      </c>
      <c r="I4" s="448">
        <f>huishoudens!I8</f>
        <v>0</v>
      </c>
      <c r="J4" s="448">
        <f>huishoudens!J8</f>
        <v>432.57892215544655</v>
      </c>
      <c r="K4" s="448">
        <f>huishoudens!K8</f>
        <v>0</v>
      </c>
      <c r="L4" s="448">
        <f>huishoudens!L8</f>
        <v>0</v>
      </c>
      <c r="M4" s="448">
        <f>huishoudens!M8</f>
        <v>0</v>
      </c>
      <c r="N4" s="448">
        <f>huishoudens!N8</f>
        <v>10966.312859364338</v>
      </c>
      <c r="O4" s="448">
        <f>huishoudens!O8</f>
        <v>109.43333333333334</v>
      </c>
      <c r="P4" s="449">
        <f>huishoudens!P8</f>
        <v>228.8</v>
      </c>
      <c r="Q4" s="450">
        <f>SUM(B4:P4)</f>
        <v>170209.90111530889</v>
      </c>
    </row>
    <row r="5" spans="1:17">
      <c r="A5" s="447" t="s">
        <v>149</v>
      </c>
      <c r="B5" s="448">
        <f ca="1">tertiair!B16</f>
        <v>11288.183604045869</v>
      </c>
      <c r="C5" s="448">
        <f ca="1">tertiair!C16</f>
        <v>0</v>
      </c>
      <c r="D5" s="448">
        <f ca="1">tertiair!D16</f>
        <v>14973.228863999999</v>
      </c>
      <c r="E5" s="448">
        <f>tertiair!E16</f>
        <v>62.694701970226042</v>
      </c>
      <c r="F5" s="448">
        <f ca="1">tertiair!F16</f>
        <v>1603.0491982291487</v>
      </c>
      <c r="G5" s="448">
        <f>tertiair!G16</f>
        <v>0</v>
      </c>
      <c r="H5" s="448">
        <f>tertiair!H16</f>
        <v>0</v>
      </c>
      <c r="I5" s="448">
        <f>tertiair!I16</f>
        <v>0</v>
      </c>
      <c r="J5" s="448">
        <f>tertiair!J16</f>
        <v>15.619597695930697</v>
      </c>
      <c r="K5" s="448">
        <f>tertiair!K16</f>
        <v>0</v>
      </c>
      <c r="L5" s="448">
        <f ca="1">tertiair!L16</f>
        <v>0</v>
      </c>
      <c r="M5" s="448">
        <f>tertiair!M16</f>
        <v>0</v>
      </c>
      <c r="N5" s="448">
        <f ca="1">tertiair!N16</f>
        <v>852.64490226390706</v>
      </c>
      <c r="O5" s="448">
        <f>tertiair!O16</f>
        <v>0</v>
      </c>
      <c r="P5" s="449">
        <f>tertiair!P16</f>
        <v>19.066666666666666</v>
      </c>
      <c r="Q5" s="447">
        <f t="shared" ref="Q5:Q14" ca="1" si="0">SUM(B5:P5)</f>
        <v>28814.487534871751</v>
      </c>
    </row>
    <row r="6" spans="1:17">
      <c r="A6" s="447" t="s">
        <v>187</v>
      </c>
      <c r="B6" s="448">
        <f>'openbare verlichting'!B8</f>
        <v>826.154</v>
      </c>
      <c r="C6" s="448"/>
      <c r="D6" s="448"/>
      <c r="E6" s="448"/>
      <c r="F6" s="448"/>
      <c r="G6" s="448"/>
      <c r="H6" s="448"/>
      <c r="I6" s="448"/>
      <c r="J6" s="448"/>
      <c r="K6" s="448"/>
      <c r="L6" s="448"/>
      <c r="M6" s="448"/>
      <c r="N6" s="448"/>
      <c r="O6" s="448"/>
      <c r="P6" s="449"/>
      <c r="Q6" s="447">
        <f t="shared" si="0"/>
        <v>826.154</v>
      </c>
    </row>
    <row r="7" spans="1:17">
      <c r="A7" s="447" t="s">
        <v>105</v>
      </c>
      <c r="B7" s="448">
        <f>landbouw!B8</f>
        <v>332.30974756623397</v>
      </c>
      <c r="C7" s="448">
        <f>landbouw!C8</f>
        <v>0</v>
      </c>
      <c r="D7" s="448">
        <f>landbouw!D8</f>
        <v>109.65163</v>
      </c>
      <c r="E7" s="448">
        <f>landbouw!E8</f>
        <v>6.9003155903788151</v>
      </c>
      <c r="F7" s="448">
        <f>landbouw!F8</f>
        <v>1174.3911274732075</v>
      </c>
      <c r="G7" s="448">
        <f>landbouw!G8</f>
        <v>0</v>
      </c>
      <c r="H7" s="448">
        <f>landbouw!H8</f>
        <v>0</v>
      </c>
      <c r="I7" s="448">
        <f>landbouw!I8</f>
        <v>0</v>
      </c>
      <c r="J7" s="448">
        <f>landbouw!J8</f>
        <v>38.113826243077902</v>
      </c>
      <c r="K7" s="448">
        <f>landbouw!K8</f>
        <v>0</v>
      </c>
      <c r="L7" s="448">
        <f>landbouw!L8</f>
        <v>0</v>
      </c>
      <c r="M7" s="448">
        <f>landbouw!M8</f>
        <v>0</v>
      </c>
      <c r="N7" s="448">
        <f>landbouw!N8</f>
        <v>0</v>
      </c>
      <c r="O7" s="448">
        <f>landbouw!O8</f>
        <v>0</v>
      </c>
      <c r="P7" s="449">
        <f>landbouw!P8</f>
        <v>0</v>
      </c>
      <c r="Q7" s="447">
        <f t="shared" si="0"/>
        <v>1661.3666468728982</v>
      </c>
    </row>
    <row r="8" spans="1:17">
      <c r="A8" s="447" t="s">
        <v>614</v>
      </c>
      <c r="B8" s="448">
        <f>industrie!B18</f>
        <v>5009.264712798431</v>
      </c>
      <c r="C8" s="448">
        <f>industrie!C18</f>
        <v>0</v>
      </c>
      <c r="D8" s="448">
        <f>industrie!D18</f>
        <v>29000.341810000002</v>
      </c>
      <c r="E8" s="448">
        <f>industrie!E18</f>
        <v>421.15293383507515</v>
      </c>
      <c r="F8" s="448">
        <f>industrie!F18</f>
        <v>1982.1539907528982</v>
      </c>
      <c r="G8" s="448">
        <f>industrie!G18</f>
        <v>0</v>
      </c>
      <c r="H8" s="448">
        <f>industrie!H18</f>
        <v>0</v>
      </c>
      <c r="I8" s="448">
        <f>industrie!I18</f>
        <v>0</v>
      </c>
      <c r="J8" s="448">
        <f>industrie!J18</f>
        <v>9.9489706447684334</v>
      </c>
      <c r="K8" s="448">
        <f>industrie!K18</f>
        <v>0</v>
      </c>
      <c r="L8" s="448">
        <f>industrie!L18</f>
        <v>0</v>
      </c>
      <c r="M8" s="448">
        <f>industrie!M18</f>
        <v>0</v>
      </c>
      <c r="N8" s="448">
        <f>industrie!N18</f>
        <v>360.02363450210032</v>
      </c>
      <c r="O8" s="448">
        <f>industrie!O18</f>
        <v>0</v>
      </c>
      <c r="P8" s="449">
        <f>industrie!P18</f>
        <v>0</v>
      </c>
      <c r="Q8" s="447">
        <f t="shared" si="0"/>
        <v>36782.886052533286</v>
      </c>
    </row>
    <row r="9" spans="1:17" s="453" customFormat="1">
      <c r="A9" s="451" t="s">
        <v>555</v>
      </c>
      <c r="B9" s="452">
        <f>transport!B14</f>
        <v>8.4280488543646097</v>
      </c>
      <c r="C9" s="452">
        <f>transport!C14</f>
        <v>0</v>
      </c>
      <c r="D9" s="452">
        <f>transport!D14</f>
        <v>7.5104356369928098</v>
      </c>
      <c r="E9" s="452">
        <f>transport!E14</f>
        <v>300.43173371900042</v>
      </c>
      <c r="F9" s="452">
        <f>transport!F14</f>
        <v>0</v>
      </c>
      <c r="G9" s="452">
        <f>transport!G14</f>
        <v>101403.746465327</v>
      </c>
      <c r="H9" s="452">
        <f>transport!H14</f>
        <v>14104.060407164065</v>
      </c>
      <c r="I9" s="452">
        <f>transport!I14</f>
        <v>0</v>
      </c>
      <c r="J9" s="452">
        <f>transport!J14</f>
        <v>0</v>
      </c>
      <c r="K9" s="452">
        <f>transport!K14</f>
        <v>0</v>
      </c>
      <c r="L9" s="452">
        <f>transport!L14</f>
        <v>0</v>
      </c>
      <c r="M9" s="452">
        <f>transport!M14</f>
        <v>5221.4005740743814</v>
      </c>
      <c r="N9" s="452">
        <f>transport!N14</f>
        <v>0</v>
      </c>
      <c r="O9" s="452">
        <f>transport!O14</f>
        <v>0</v>
      </c>
      <c r="P9" s="452">
        <f>transport!P14</f>
        <v>0</v>
      </c>
      <c r="Q9" s="451">
        <f>SUM(B9:P9)</f>
        <v>121045.5776647758</v>
      </c>
    </row>
    <row r="10" spans="1:17">
      <c r="A10" s="447" t="s">
        <v>545</v>
      </c>
      <c r="B10" s="448">
        <f>transport!B54</f>
        <v>8.5024872309834816</v>
      </c>
      <c r="C10" s="448">
        <f>transport!C54</f>
        <v>0</v>
      </c>
      <c r="D10" s="448">
        <f>transport!D54</f>
        <v>0</v>
      </c>
      <c r="E10" s="448">
        <f>transport!E54</f>
        <v>0</v>
      </c>
      <c r="F10" s="448">
        <f>transport!F54</f>
        <v>0</v>
      </c>
      <c r="G10" s="448">
        <f>transport!G54</f>
        <v>1654.9610290964113</v>
      </c>
      <c r="H10" s="448">
        <f>transport!H54</f>
        <v>0</v>
      </c>
      <c r="I10" s="448">
        <f>transport!I54</f>
        <v>0</v>
      </c>
      <c r="J10" s="448">
        <f>transport!J54</f>
        <v>0</v>
      </c>
      <c r="K10" s="448">
        <f>transport!K54</f>
        <v>0</v>
      </c>
      <c r="L10" s="448">
        <f>transport!L54</f>
        <v>0</v>
      </c>
      <c r="M10" s="448">
        <f>transport!M54</f>
        <v>74.209843151045192</v>
      </c>
      <c r="N10" s="448">
        <f>transport!N54</f>
        <v>0</v>
      </c>
      <c r="O10" s="448">
        <f>transport!O54</f>
        <v>0</v>
      </c>
      <c r="P10" s="449">
        <f>transport!P54</f>
        <v>0</v>
      </c>
      <c r="Q10" s="447">
        <f t="shared" si="0"/>
        <v>1737.6733594784398</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602.5819161761151</v>
      </c>
      <c r="C14" s="455"/>
      <c r="D14" s="455">
        <f>'SEAP template'!E25</f>
        <v>3203.7779999999998</v>
      </c>
      <c r="E14" s="455"/>
      <c r="F14" s="455"/>
      <c r="G14" s="455"/>
      <c r="H14" s="455"/>
      <c r="I14" s="455"/>
      <c r="J14" s="455"/>
      <c r="K14" s="455"/>
      <c r="L14" s="455"/>
      <c r="M14" s="455"/>
      <c r="N14" s="455"/>
      <c r="O14" s="455"/>
      <c r="P14" s="456"/>
      <c r="Q14" s="447">
        <f t="shared" si="0"/>
        <v>3806.3599161761149</v>
      </c>
    </row>
    <row r="15" spans="1:17" s="460" customFormat="1">
      <c r="A15" s="457" t="s">
        <v>549</v>
      </c>
      <c r="B15" s="458">
        <f ca="1">SUM(B4:B14)</f>
        <v>49293.126155756632</v>
      </c>
      <c r="C15" s="458">
        <f t="shared" ref="C15:Q15" ca="1" si="1">SUM(C4:C14)</f>
        <v>0</v>
      </c>
      <c r="D15" s="458">
        <f t="shared" ca="1" si="1"/>
        <v>150962.38984451033</v>
      </c>
      <c r="E15" s="458">
        <f t="shared" si="1"/>
        <v>1536.5373366790445</v>
      </c>
      <c r="F15" s="458">
        <f t="shared" ca="1" si="1"/>
        <v>27601.431921388703</v>
      </c>
      <c r="G15" s="458">
        <f t="shared" si="1"/>
        <v>103058.7074944234</v>
      </c>
      <c r="H15" s="458">
        <f t="shared" si="1"/>
        <v>14104.060407164065</v>
      </c>
      <c r="I15" s="458">
        <f t="shared" si="1"/>
        <v>0</v>
      </c>
      <c r="J15" s="458">
        <f t="shared" si="1"/>
        <v>496.26131673922356</v>
      </c>
      <c r="K15" s="458">
        <f t="shared" si="1"/>
        <v>0</v>
      </c>
      <c r="L15" s="458">
        <f t="shared" ca="1" si="1"/>
        <v>0</v>
      </c>
      <c r="M15" s="458">
        <f t="shared" si="1"/>
        <v>5295.6104172254263</v>
      </c>
      <c r="N15" s="458">
        <f t="shared" ca="1" si="1"/>
        <v>12178.981396130344</v>
      </c>
      <c r="O15" s="458">
        <f t="shared" si="1"/>
        <v>109.43333333333334</v>
      </c>
      <c r="P15" s="458">
        <f t="shared" si="1"/>
        <v>247.86666666666667</v>
      </c>
      <c r="Q15" s="458">
        <f t="shared" ca="1" si="1"/>
        <v>364884.40629001718</v>
      </c>
    </row>
    <row r="17" spans="1:17">
      <c r="A17" s="461" t="s">
        <v>550</v>
      </c>
      <c r="B17" s="731">
        <f ca="1">huishoudens!B10</f>
        <v>0.20672863753037782</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6453.5929266778076</v>
      </c>
      <c r="C22" s="448">
        <f t="shared" ref="C22:C32" ca="1" si="3">C4*$C$17</f>
        <v>0</v>
      </c>
      <c r="D22" s="448">
        <f t="shared" ref="D22:D32" si="4">D4*$D$17</f>
        <v>20940.911579184416</v>
      </c>
      <c r="E22" s="448">
        <f t="shared" ref="E22:E32" si="5">E4*$E$17</f>
        <v>169.19618690511064</v>
      </c>
      <c r="F22" s="448">
        <f t="shared" ref="F22:F32" si="6">F4*$F$17</f>
        <v>6098.7706405172312</v>
      </c>
      <c r="G22" s="448">
        <f t="shared" ref="G22:G32" si="7">G4*$G$17</f>
        <v>0</v>
      </c>
      <c r="H22" s="448">
        <f t="shared" ref="H22:H32" si="8">H4*$H$17</f>
        <v>0</v>
      </c>
      <c r="I22" s="448">
        <f t="shared" ref="I22:I32" si="9">I4*$I$17</f>
        <v>0</v>
      </c>
      <c r="J22" s="448">
        <f t="shared" ref="J22:J32" si="10">J4*$J$17</f>
        <v>153.13293844302808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33815.604271727592</v>
      </c>
    </row>
    <row r="23" spans="1:17">
      <c r="A23" s="447" t="s">
        <v>149</v>
      </c>
      <c r="B23" s="448">
        <f t="shared" ca="1" si="2"/>
        <v>2333.5908166571526</v>
      </c>
      <c r="C23" s="448">
        <f t="shared" ca="1" si="3"/>
        <v>0</v>
      </c>
      <c r="D23" s="448">
        <f t="shared" ca="1" si="4"/>
        <v>3024.5922305280001</v>
      </c>
      <c r="E23" s="448">
        <f t="shared" si="5"/>
        <v>14.231697347241312</v>
      </c>
      <c r="F23" s="448">
        <f t="shared" ca="1" si="6"/>
        <v>428.01413592718274</v>
      </c>
      <c r="G23" s="448">
        <f t="shared" si="7"/>
        <v>0</v>
      </c>
      <c r="H23" s="448">
        <f t="shared" si="8"/>
        <v>0</v>
      </c>
      <c r="I23" s="448">
        <f t="shared" si="9"/>
        <v>0</v>
      </c>
      <c r="J23" s="448">
        <f t="shared" si="10"/>
        <v>5.5293375843594665</v>
      </c>
      <c r="K23" s="448">
        <f t="shared" si="11"/>
        <v>0</v>
      </c>
      <c r="L23" s="448">
        <f t="shared" ca="1" si="12"/>
        <v>0</v>
      </c>
      <c r="M23" s="448">
        <f t="shared" si="13"/>
        <v>0</v>
      </c>
      <c r="N23" s="448">
        <f t="shared" ca="1" si="14"/>
        <v>0</v>
      </c>
      <c r="O23" s="448">
        <f t="shared" si="15"/>
        <v>0</v>
      </c>
      <c r="P23" s="449">
        <f t="shared" si="16"/>
        <v>0</v>
      </c>
      <c r="Q23" s="447">
        <f t="shared" ref="Q23:Q32" ca="1" si="17">SUM(B23:P23)</f>
        <v>5805.9582180439365</v>
      </c>
    </row>
    <row r="24" spans="1:17">
      <c r="A24" s="447" t="s">
        <v>187</v>
      </c>
      <c r="B24" s="448">
        <f t="shared" ca="1" si="2"/>
        <v>170.78969081027176</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170.78969081027176</v>
      </c>
    </row>
    <row r="25" spans="1:17">
      <c r="A25" s="447" t="s">
        <v>105</v>
      </c>
      <c r="B25" s="448">
        <f t="shared" ca="1" si="2"/>
        <v>68.697941352431329</v>
      </c>
      <c r="C25" s="448">
        <f t="shared" ca="1" si="3"/>
        <v>0</v>
      </c>
      <c r="D25" s="448">
        <f t="shared" si="4"/>
        <v>22.149629260000001</v>
      </c>
      <c r="E25" s="448">
        <f t="shared" si="5"/>
        <v>1.5663716390159912</v>
      </c>
      <c r="F25" s="448">
        <f t="shared" si="6"/>
        <v>313.56243103534644</v>
      </c>
      <c r="G25" s="448">
        <f t="shared" si="7"/>
        <v>0</v>
      </c>
      <c r="H25" s="448">
        <f t="shared" si="8"/>
        <v>0</v>
      </c>
      <c r="I25" s="448">
        <f t="shared" si="9"/>
        <v>0</v>
      </c>
      <c r="J25" s="448">
        <f t="shared" si="10"/>
        <v>13.492294490049577</v>
      </c>
      <c r="K25" s="448">
        <f t="shared" si="11"/>
        <v>0</v>
      </c>
      <c r="L25" s="448">
        <f t="shared" si="12"/>
        <v>0</v>
      </c>
      <c r="M25" s="448">
        <f t="shared" si="13"/>
        <v>0</v>
      </c>
      <c r="N25" s="448">
        <f t="shared" si="14"/>
        <v>0</v>
      </c>
      <c r="O25" s="448">
        <f t="shared" si="15"/>
        <v>0</v>
      </c>
      <c r="P25" s="449">
        <f t="shared" si="16"/>
        <v>0</v>
      </c>
      <c r="Q25" s="447">
        <f t="shared" ca="1" si="17"/>
        <v>419.46866777684335</v>
      </c>
    </row>
    <row r="26" spans="1:17">
      <c r="A26" s="447" t="s">
        <v>614</v>
      </c>
      <c r="B26" s="448">
        <f t="shared" ca="1" si="2"/>
        <v>1035.5584691058191</v>
      </c>
      <c r="C26" s="448">
        <f t="shared" ca="1" si="3"/>
        <v>0</v>
      </c>
      <c r="D26" s="448">
        <f t="shared" si="4"/>
        <v>5858.0690456200009</v>
      </c>
      <c r="E26" s="448">
        <f t="shared" si="5"/>
        <v>95.601715980562062</v>
      </c>
      <c r="F26" s="448">
        <f t="shared" si="6"/>
        <v>529.23511553102378</v>
      </c>
      <c r="G26" s="448">
        <f t="shared" si="7"/>
        <v>0</v>
      </c>
      <c r="H26" s="448">
        <f t="shared" si="8"/>
        <v>0</v>
      </c>
      <c r="I26" s="448">
        <f t="shared" si="9"/>
        <v>0</v>
      </c>
      <c r="J26" s="448">
        <f t="shared" si="10"/>
        <v>3.5219356082480253</v>
      </c>
      <c r="K26" s="448">
        <f t="shared" si="11"/>
        <v>0</v>
      </c>
      <c r="L26" s="448">
        <f t="shared" si="12"/>
        <v>0</v>
      </c>
      <c r="M26" s="448">
        <f t="shared" si="13"/>
        <v>0</v>
      </c>
      <c r="N26" s="448">
        <f t="shared" si="14"/>
        <v>0</v>
      </c>
      <c r="O26" s="448">
        <f t="shared" si="15"/>
        <v>0</v>
      </c>
      <c r="P26" s="449">
        <f t="shared" si="16"/>
        <v>0</v>
      </c>
      <c r="Q26" s="447">
        <f t="shared" ca="1" si="17"/>
        <v>7521.986281845654</v>
      </c>
    </row>
    <row r="27" spans="1:17" s="453" customFormat="1">
      <c r="A27" s="451" t="s">
        <v>555</v>
      </c>
      <c r="B27" s="725">
        <f t="shared" ca="1" si="2"/>
        <v>1.7423190567022575</v>
      </c>
      <c r="C27" s="452">
        <f t="shared" ca="1" si="3"/>
        <v>0</v>
      </c>
      <c r="D27" s="452">
        <f t="shared" si="4"/>
        <v>1.5171079986725478</v>
      </c>
      <c r="E27" s="452">
        <f t="shared" si="5"/>
        <v>68.198003554213102</v>
      </c>
      <c r="F27" s="452">
        <f t="shared" si="6"/>
        <v>0</v>
      </c>
      <c r="G27" s="452">
        <f t="shared" si="7"/>
        <v>27074.800306242312</v>
      </c>
      <c r="H27" s="452">
        <f t="shared" si="8"/>
        <v>3511.9110413838521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30658.168778235755</v>
      </c>
    </row>
    <row r="28" spans="1:17">
      <c r="A28" s="447" t="s">
        <v>545</v>
      </c>
      <c r="B28" s="448">
        <f t="shared" ca="1" si="2"/>
        <v>1.75770760088065</v>
      </c>
      <c r="C28" s="448">
        <f t="shared" ca="1" si="3"/>
        <v>0</v>
      </c>
      <c r="D28" s="448">
        <f t="shared" si="4"/>
        <v>0</v>
      </c>
      <c r="E28" s="448">
        <f t="shared" si="5"/>
        <v>0</v>
      </c>
      <c r="F28" s="448">
        <f t="shared" si="6"/>
        <v>0</v>
      </c>
      <c r="G28" s="448">
        <f t="shared" si="7"/>
        <v>441.87459476874182</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443.63230236962249</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124.5709385315326</v>
      </c>
      <c r="C32" s="448">
        <f t="shared" ca="1" si="3"/>
        <v>0</v>
      </c>
      <c r="D32" s="448">
        <f t="shared" si="4"/>
        <v>647.16315599999996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771.73409453153261</v>
      </c>
    </row>
    <row r="33" spans="1:17" s="460" customFormat="1">
      <c r="A33" s="457" t="s">
        <v>549</v>
      </c>
      <c r="B33" s="458">
        <f ca="1">SUM(B22:B32)</f>
        <v>10190.300809792599</v>
      </c>
      <c r="C33" s="458">
        <f t="shared" ref="C33:Q33" ca="1" si="18">SUM(C22:C32)</f>
        <v>0</v>
      </c>
      <c r="D33" s="458">
        <f t="shared" ca="1" si="18"/>
        <v>30494.402748591085</v>
      </c>
      <c r="E33" s="458">
        <f t="shared" si="18"/>
        <v>348.79397542614311</v>
      </c>
      <c r="F33" s="458">
        <f t="shared" ca="1" si="18"/>
        <v>7369.5823230107844</v>
      </c>
      <c r="G33" s="458">
        <f t="shared" si="18"/>
        <v>27516.674901011054</v>
      </c>
      <c r="H33" s="458">
        <f t="shared" si="18"/>
        <v>3511.9110413838521</v>
      </c>
      <c r="I33" s="458">
        <f t="shared" si="18"/>
        <v>0</v>
      </c>
      <c r="J33" s="458">
        <f t="shared" si="18"/>
        <v>175.67650612568514</v>
      </c>
      <c r="K33" s="458">
        <f t="shared" si="18"/>
        <v>0</v>
      </c>
      <c r="L33" s="458">
        <f t="shared" ca="1" si="18"/>
        <v>0</v>
      </c>
      <c r="M33" s="458">
        <f t="shared" si="18"/>
        <v>0</v>
      </c>
      <c r="N33" s="458">
        <f t="shared" ca="1" si="18"/>
        <v>0</v>
      </c>
      <c r="O33" s="458">
        <f t="shared" si="18"/>
        <v>0</v>
      </c>
      <c r="P33" s="458">
        <f t="shared" si="18"/>
        <v>0</v>
      </c>
      <c r="Q33" s="458">
        <f t="shared" ca="1" si="18"/>
        <v>79607.342305341197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3183.1677404055035</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3183.1677404055035</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0.20672863753037782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0.20672863753037782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1</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19.066666666666666</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2022-07-26T11:51:14Z</dcterms:modified>
</cp:coreProperties>
</file>