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vlaamseoverheid-my.sharepoint.com/personal/elke_vanhoefs_vlaanderen_be/Documents/Documenten/Hub Lokaal Woonbeleid - Huurprijs Lokale besturen/"/>
    </mc:Choice>
  </mc:AlternateContent>
  <xr:revisionPtr revIDLastSave="0" documentId="8_{F9DF4B04-0E26-458C-A33F-2908BC5F6FDC}" xr6:coauthVersionLast="47" xr6:coauthVersionMax="47" xr10:uidLastSave="{00000000-0000-0000-0000-000000000000}"/>
  <bookViews>
    <workbookView xWindow="-120" yWindow="-120" windowWidth="29040" windowHeight="15840" xr2:uid="{00000000-000D-0000-FFFF-FFFF00000000}"/>
  </bookViews>
  <sheets>
    <sheet name="berekening huurprijs" sheetId="8" r:id="rId1"/>
    <sheet name="verklarende woordenlijst"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8" l="1"/>
  <c r="B22" i="8"/>
  <c r="B23" i="8" s="1"/>
  <c r="H20" i="8"/>
  <c r="H21" i="8"/>
  <c r="K21" i="8"/>
  <c r="H22" i="8"/>
  <c r="H23" i="8"/>
  <c r="H19" i="8"/>
  <c r="B6" i="8"/>
  <c r="I6" i="8"/>
  <c r="J6" i="8"/>
  <c r="I5" i="8"/>
  <c r="J5" i="8"/>
  <c r="I4" i="8"/>
  <c r="J4" i="8"/>
  <c r="K22" i="8"/>
  <c r="K23" i="8"/>
  <c r="I13" i="8"/>
  <c r="I14" i="8"/>
  <c r="I11" i="8"/>
  <c r="I12" i="8"/>
  <c r="I10" i="8"/>
  <c r="B18" i="8"/>
  <c r="B17" i="8"/>
  <c r="K20" i="8"/>
  <c r="I15" i="8"/>
  <c r="B4" i="8"/>
  <c r="B12" i="8"/>
  <c r="K19" i="8"/>
  <c r="B11" i="8"/>
  <c r="K24" i="8"/>
  <c r="B24" i="8"/>
  <c r="H24" i="8"/>
  <c r="B9" i="8"/>
  <c r="B10" i="8"/>
  <c r="B13" i="8"/>
  <c r="B7" i="8"/>
  <c r="B8" i="8"/>
  <c r="B25" i="8" l="1"/>
  <c r="B27" i="8" s="1"/>
  <c r="B29" i="8" s="1"/>
</calcChain>
</file>

<file path=xl/sharedStrings.xml><?xml version="1.0" encoding="utf-8"?>
<sst xmlns="http://schemas.openxmlformats.org/spreadsheetml/2006/main" count="143" uniqueCount="108">
  <si>
    <t>IC</t>
  </si>
  <si>
    <t>Basishuur/2</t>
  </si>
  <si>
    <t>Inkomen/60</t>
  </si>
  <si>
    <t>geactualiseerde kostprijs</t>
  </si>
  <si>
    <t>actualisatiecoëfficiënt</t>
  </si>
  <si>
    <t>Jaar 1ste bewoning</t>
  </si>
  <si>
    <t>jaar renovatie</t>
  </si>
  <si>
    <t>sanering,verbeterings en aanpasingskosten</t>
  </si>
  <si>
    <t>oprichting en verwervingskosten</t>
  </si>
  <si>
    <t>gele velden zelf invullen</t>
  </si>
  <si>
    <t>oranje velden worden berekend</t>
  </si>
  <si>
    <t>basishuur/2</t>
  </si>
  <si>
    <t>basishuurcoëfficiënt</t>
  </si>
  <si>
    <t>inkomen</t>
  </si>
  <si>
    <t>basishuur</t>
  </si>
  <si>
    <t>inkomen/60</t>
  </si>
  <si>
    <t>aangepaste huurprijs</t>
  </si>
  <si>
    <t>functie waarbij de basishuurprijs in hoofde van elke individuele huurder wordt aangepast volgens inkomen en personen ten laste</t>
  </si>
  <si>
    <t>de minimale huurprijs van de woning, kan hoger zijn dan 1/60ste van inkomen</t>
  </si>
  <si>
    <t>voorlopig aangepaste huurprijs</t>
  </si>
  <si>
    <t>voorlopig aangepaste huur</t>
  </si>
  <si>
    <t>Reële huurprijs</t>
  </si>
  <si>
    <t>reële huurprijs</t>
  </si>
  <si>
    <t>maximale huurprijs, de door het lokaal bestuur geraamde huurprijs van een vergelijkbare woning in de omgeving op de private huurwoningmarkt</t>
  </si>
  <si>
    <t>de som van alle individueel geactualiseerde investeringen die in de woning werden gedaan, nodig om de basishuurprijs te bepalen</t>
  </si>
  <si>
    <t>normale huurwaarde</t>
  </si>
  <si>
    <t>berekening in functie van inkomen, het aantal personen ten laste en de kostprijs van de woning</t>
  </si>
  <si>
    <t xml:space="preserve">Inkomen </t>
  </si>
  <si>
    <t>is gelijk aan de voorlopig aangepaste huurprijs, rekening houdend met de % vermindeng basishuurprijs vanaf 3 PTL</t>
  </si>
  <si>
    <t>de uiteindelijk te betalen huurprijs is gelijk aan de aangepaste huurprijs, tenzij deze begrensd wordt door 1/60 inkomen, normale huurwaarde, de basishuurprijs of de minimale huurprijs,</t>
  </si>
  <si>
    <t>Jaar van eerste bewoning</t>
  </si>
  <si>
    <t xml:space="preserve">Actualisatiecoëfficiënt </t>
  </si>
  <si>
    <t>maximale huurprijs om de betaalbaarheid te garanderen, maar is ondergeschikt aan 1/2 basishuurprijs</t>
  </si>
  <si>
    <t>Energiecorrectie</t>
  </si>
  <si>
    <t>Patrimoniumkorting</t>
  </si>
  <si>
    <t>Wie?</t>
  </si>
  <si>
    <t>Inkomen</t>
  </si>
  <si>
    <t>Jaar inkomen</t>
  </si>
  <si>
    <t>Geïndexeerd inkomen</t>
  </si>
  <si>
    <t>Vrijstelling PTL a of b?</t>
  </si>
  <si>
    <t>toe te passen inkomen</t>
  </si>
  <si>
    <t>nee</t>
  </si>
  <si>
    <t>Persoon 2 (bvb. 26 jarige zoon met handicap)</t>
  </si>
  <si>
    <t>ja</t>
  </si>
  <si>
    <t>Personen ten laste</t>
  </si>
  <si>
    <t>Gezinskorting</t>
  </si>
  <si>
    <t>Persoon 3 (bvb. 22 jarige student)</t>
  </si>
  <si>
    <t>andere + 2PTL</t>
  </si>
  <si>
    <t>Aangepaste huurprijs</t>
  </si>
  <si>
    <t>Totaal</t>
  </si>
  <si>
    <t>Minimale huurprijs</t>
  </si>
  <si>
    <t>Obv de marktwaarde wordt een minimale huurprijs bepaald tussen de 139 en de 278 euro. Deze bedragen worden net zoals de basishuurprijs vastgelegd en geïndexeerd tot ze herzien wordt als de basishuurprijs wordt vervangen door de dan geldende marktwaarde.</t>
  </si>
  <si>
    <t>Obv de marktwaarde wordt een patrimoniumkorting bepaald tussen de 0 en de 160 euro. Deze bedragen worden net zoals de basishuurprijs vastgelegd en geïndexeerd tot ze herzien wordt als de basishuurprijs wordt vervangen door de dan geldende marktwaarde.</t>
  </si>
  <si>
    <t xml:space="preserve">De energiecorrectie wordt berekend aan de hand van energetische parameters. Het resultaat wordt vermenigvuldigd met het sociaal tarief van september, voorafgaand aan de toepassing. De berekening van de energiecorrectie maakt geen deel uit van dit berekeningsblad. </t>
  </si>
  <si>
    <t>Iedere persoon met handicap, minderjarig kind of kinderbijslag dan wel wezentoelage gerechtigde persoon wordt beschouwd als persoon ten laste, op voorwaarde dat het in de woning gedomicilieerd is dan wel regelmatig verblijft.</t>
  </si>
  <si>
    <t xml:space="preserve">Per persoon ten laste wordt een korting van 21 dan wel 10,5 euro toegekend, afhankelijk of het er ja dan nee gedomicilieerd is. Een minderjarige dan wel kinderbijslag of wezentoelage gerechtigde persoon met handicap telt dubbel. </t>
  </si>
  <si>
    <t>De berekeningswijze van de aangepaste huurprijs is gebaseerd op het inkomensaandeel. Er zijn 4 scenario's mogelijk:</t>
  </si>
  <si>
    <t>Scenario 1: het gezinsinkomen is gelijk aan of ligt lager dan de toepasselijke inkomensgrens: de aangepaste huurprijs wordt berekend op 1/55ste van het inkomen.</t>
  </si>
  <si>
    <t xml:space="preserve">Scenario 2: het gezinsinkomen ligt hoger dan de toepasselijke inkomensgrens maar lager dan 125%: de aangepaste huurprijs wordt berekend op 1/54ste van het inkomen. </t>
  </si>
  <si>
    <t>Scenario 3: het gezinsinkomen is gelijk aan of ligt hoger dan 125% van de toepasselijke inkomensgrens maar lager dan 150%: de aangepaste huurprijs wordt berekend op 1/53ste van de toepasselijke inkomensgrens.</t>
  </si>
  <si>
    <t>Scenario 4: het gezinsinkomen is gelijk aan of ligt hoger dan 150% van de toepasselijke inkomensgrens: de aangepaste huurprijs wordt berekend op 1/52ste van het inkomen.</t>
  </si>
  <si>
    <t>Dit is de reële huurprijs die de huurder betaalt, namelijk 1/55I (of 1/54 of 1/53 of 1/52) - PK - GK. Kan nooit minder zijn dan de minimale huurprijs, verhoogd met de energiecorrectie, of meer dan de basishuurprijs.</t>
  </si>
  <si>
    <t>verschil</t>
  </si>
  <si>
    <t>%-overgang</t>
  </si>
  <si>
    <t>Inkomensgrenzen volgens gezinstype</t>
  </si>
  <si>
    <t>alleenstaande gehandicapte</t>
  </si>
  <si>
    <t>alleenstaande zonder PTL</t>
  </si>
  <si>
    <t>andere</t>
  </si>
  <si>
    <t>andere + 1 PTL</t>
  </si>
  <si>
    <t>andere + 3 PTL</t>
  </si>
  <si>
    <t>andere + 4 PTL</t>
  </si>
  <si>
    <t>andere + 5 PTL</t>
  </si>
  <si>
    <t>andere + 6 PTL</t>
  </si>
  <si>
    <t>andere + 7 PTL</t>
  </si>
  <si>
    <t>Oorspronkelijke huurprijs BVR 1994</t>
  </si>
  <si>
    <t>Nieuwe huurprijs BVCW 2021</t>
  </si>
  <si>
    <t>Berekening geactualiseerde kostprijs woning (vb. oplevering 1989, 2 maal gerenoveerd</t>
  </si>
  <si>
    <t xml:space="preserve">Normale Huurwaarde </t>
  </si>
  <si>
    <t xml:space="preserve">basishuurcoefficient </t>
  </si>
  <si>
    <t xml:space="preserve">Basishuur </t>
  </si>
  <si>
    <t>minimale huurprijs</t>
  </si>
  <si>
    <t>de berekende basishuurprijs is een percentage van de geactualiseerde kostprijs, tussen 3 en 7,5%</t>
  </si>
  <si>
    <t>de maximaal te betalen huurprijs, tussen 3 en 7,5% van de geactualiseerde kostprijs van de woning en mag niet hoger zijn dan de normale huurwaarde</t>
  </si>
  <si>
    <r>
      <t xml:space="preserve">de som van de volgende </t>
    </r>
    <r>
      <rPr>
        <u/>
        <sz val="10"/>
        <rFont val="Calibri"/>
        <family val="2"/>
      </rPr>
      <t>geïndexeerde</t>
    </r>
    <r>
      <rPr>
        <sz val="10"/>
        <rFont val="Calibri"/>
        <family val="2"/>
      </rPr>
      <t xml:space="preserve"> inkomsten, ontvangen in het jaar waarop het laatst beschikbare aanslagbiljet betrekking heeft:
a) het gezamenlijk belastbaar inkomen en de afzonderlijke belastbare inkomsten;
b) het leefloon;
c) de inkomensvervangende tegemoetkoming aan personen met een handicap;
d) de van belasting vrijgestelde beroepsinkomsten uit het buitenland of verworven bij een Europese of internationale instelling;                                                                                                                                                                                                                                                                        Het referentie-inkomen van een persoon die een persoon ten laste is als vermeld in artikel 1, eerste lid, 19°, a) of b) van het KSH wordt niet meegerekend. Het referentie-inkomen of een gedeelte ervan van de familieleden van de eerste, tweede en derde graad van de huurder die erkend zijn als ernstig gehandicapt, is vrijgesteld voor de huurprijsberekening. Het bedrag van de vrijstelling is gelijk aan de geïndexeerde inkomensvervangende tegemoetkoming die toegekend wordt aan de personen die behoren tot categorie B als vermeld in artikel 6, § 1, van de wet van 27 februari 1987 betreffende de tegemoetkomingen aan personen met een handicap. De voormelde geïndexeerde inkomensvervangende tegemoetkoming is de tegemoetkoming zoals die van toepassing is op 1 september van het jaar dat aan de vaststelling van het referentie-inkomen voorafgaat. De vrijstelling geldt per familielid van de eerste, tweede en derde graad van de huurder dat erkend is als ernstig gehandicapt. Als de vrijstelling groter is dan het referentie-inkomen van het familielid, wordt ze begrensd tot het referentie-inkomen van dat familielid.</t>
    </r>
  </si>
  <si>
    <t>begrip oorspronkelijke huurprijs</t>
  </si>
  <si>
    <t>begrip nieuwe huurprijs</t>
  </si>
  <si>
    <r>
      <t xml:space="preserve">de som van de volgende </t>
    </r>
    <r>
      <rPr>
        <u/>
        <sz val="10"/>
        <rFont val="Arial"/>
        <family val="2"/>
      </rPr>
      <t xml:space="preserve">niet-geïndexeerde </t>
    </r>
    <r>
      <rPr>
        <sz val="10"/>
        <rFont val="Arial"/>
        <family val="2"/>
      </rPr>
      <t>inkomsten, ontvangen in het jaar waarop het laatst beschikbare aanslagbiljet betrekking heeft:
a) het gezamenlijk belastbaar inkomen en de afzonderlijke belastbare inkomsten;
b) het leefloon;
c) de inkomensvervangende tegemoetkoming aan personen met een handicap;
d) de van belasting vrijgestelde beroepsinkomsten uit het buitenland of verworven bij een Europese of internationale instelling;                                                                                                                                                                                                                                                                        Het referentie-inkomen van een persoon die een persoon ten laste is als vermeld in artikel 1, eerste lid, 19°, a) of b) van het KSH wordt niet meegerekend. Het referentie-inkomen of een gedeelte ervan van de familieleden van de eerste, tweede en derde graad van de huurder die erkend zijn als ernstig gehandicapt, is vrijgesteld voor de huurprijsberekening. Het bedrag van de vrijstelling is gelijk aan de geïndexeerde inkomensvervangende tegemoetkoming die toegekend wordt aan de personen die behoren tot categorie B als vermeld in artikel 6, § 1, van de wet van 27 februari 1987 betreffende de tegemoetkomingen aan personen met een handicap. De voormelde geïndexeerde inkomensvervangende tegemoetkoming is de tegemoetkoming zoals die van toepassing is op 1 september van het jaar dat aan de vaststelling van het referentie-inkomen voorafgaat. De vrijstelling geldt per familielid van de eerste, tweede en derde graad van de huurder dat erkend is als ernstig gehandicapt. Als de vrijstelling groter is dan het referentie-inkomen van het familielid, wordt ze begrensd tot het referentie-inkomen van dat familielid.</t>
    </r>
  </si>
  <si>
    <t>marktwaarde</t>
  </si>
  <si>
    <t>energiecorrectie</t>
  </si>
  <si>
    <t>patrimoniumkorting</t>
  </si>
  <si>
    <t>gezinskorting</t>
  </si>
  <si>
    <t>toepasselijke inkomensgrens</t>
  </si>
  <si>
    <t>gezinstype inkomensgrens</t>
  </si>
  <si>
    <t>vermindering wegens handicap</t>
  </si>
  <si>
    <t>Persoon 1 (bvb. huurder</t>
  </si>
  <si>
    <t>Gezinsinkomen BVR 1994</t>
  </si>
  <si>
    <t>Gezinsinkomen BVCW 2021</t>
  </si>
  <si>
    <t>Personen ten laste (PTL)</t>
  </si>
  <si>
    <t>inkomenscoëfficiënt</t>
  </si>
  <si>
    <t>Inkomenscoëfficiënt</t>
  </si>
  <si>
    <t>De geschatte marktwaarde</t>
  </si>
  <si>
    <t>Overgansgregeling</t>
  </si>
  <si>
    <t>aan te rekenen huurprijs</t>
  </si>
  <si>
    <t>de berekende huurprijs volgens het stelsel</t>
  </si>
  <si>
    <t>de aan te rekenen huurprijs in 2023</t>
  </si>
  <si>
    <t>verschil tussen de oorspronkelijke huurprijs volgens BVR 1994 en de nieuwe huurprijsberekening volgens het BVCW van 2021</t>
  </si>
  <si>
    <t>mate waarin het verschil reeds in de aan te rekenen huurprijs voor 2023 zal worden verrekend. Minimum 25% in 2023, 50% in 2024 en 75% in 2025. men kan steeds meer dan het vooropgesteld percentage gaan in het betreokken jaar, of ineens naar 100% gaan.</t>
  </si>
  <si>
    <t>de huurprijs die de huurder dient te betalen in het jaar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</si>
</sst>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quot;-&quot;??_ ;_ @_ "/>
    <numFmt numFmtId="165" formatCode="&quot;€&quot;\ #,##0.00"/>
  </numFmts>
  <fonts count="13" x14ac:knownFonts="1">
    <font>
      <sz val="10"/>
      <name val="Arial"/>
    </font>
    <font>
      <sz val="10"/>
      <name val="Arial"/>
      <family val="2"/>
    </font>
    <font>
      <sz val="10"/>
      <name val="Arial"/>
      <family val="2"/>
    </font>
    <font>
      <sz val="10"/>
      <name val="Calibri"/>
      <family val="2"/>
    </font>
    <font>
      <u/>
      <sz val="10"/>
      <name val="Arial"/>
      <family val="2"/>
    </font>
    <font>
      <u/>
      <sz val="10"/>
      <name val="Calibri"/>
      <family val="2"/>
    </font>
    <font>
      <sz val="11"/>
      <color theme="1"/>
      <name val="Calibri"/>
      <family val="2"/>
      <scheme val="minor"/>
    </font>
    <font>
      <sz val="10"/>
      <name val="Calibri"/>
      <family val="2"/>
      <scheme val="minor"/>
    </font>
    <font>
      <b/>
      <sz val="10"/>
      <name val="Calibri"/>
      <family val="2"/>
      <scheme val="minor"/>
    </font>
    <font>
      <sz val="8"/>
      <name val="Calibri"/>
      <family val="2"/>
      <scheme val="minor"/>
    </font>
    <font>
      <sz val="9"/>
      <name val="Calibri"/>
      <family val="2"/>
      <scheme val="minor"/>
    </font>
    <font>
      <b/>
      <sz val="9"/>
      <name val="Calibri"/>
      <family val="2"/>
      <scheme val="minor"/>
    </font>
    <font>
      <sz val="9"/>
      <color rgb="FF000000"/>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
      <patternFill patternType="solid">
        <fgColor theme="1"/>
        <bgColor indexed="64"/>
      </patternFill>
    </fill>
    <fill>
      <patternFill patternType="solid">
        <fgColor rgb="FFFFC000"/>
        <bgColor indexed="64"/>
      </patternFill>
    </fill>
    <fill>
      <patternFill patternType="solid">
        <fgColor theme="6" tint="-0.249977111117893"/>
        <bgColor indexed="64"/>
      </patternFill>
    </fill>
    <fill>
      <patternFill patternType="solid">
        <fgColor theme="2" tint="-9.9978637043366805E-2"/>
        <bgColor indexed="64"/>
      </patternFill>
    </fill>
  </fills>
  <borders count="38">
    <border>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6" fillId="0" borderId="0"/>
    <xf numFmtId="0" fontId="1" fillId="0" borderId="0"/>
  </cellStyleXfs>
  <cellXfs count="117">
    <xf numFmtId="0" fontId="0" fillId="0" borderId="0" xfId="0"/>
    <xf numFmtId="0" fontId="1" fillId="0" borderId="0" xfId="0" applyFont="1"/>
    <xf numFmtId="0" fontId="1" fillId="0" borderId="0" xfId="0" applyFont="1" applyBorder="1"/>
    <xf numFmtId="0" fontId="0" fillId="0" borderId="0" xfId="0" applyFill="1"/>
    <xf numFmtId="0" fontId="1" fillId="0" borderId="0" xfId="0" applyFont="1" applyFill="1"/>
    <xf numFmtId="0" fontId="7" fillId="0" borderId="1" xfId="4" applyFont="1" applyBorder="1" applyAlignment="1">
      <alignment horizontal="left" vertical="center" wrapText="1"/>
    </xf>
    <xf numFmtId="0" fontId="7" fillId="0" borderId="1" xfId="4" applyFont="1" applyBorder="1" applyAlignment="1">
      <alignment vertical="center" wrapText="1"/>
    </xf>
    <xf numFmtId="0" fontId="7" fillId="0" borderId="2" xfId="4" applyFont="1" applyBorder="1" applyAlignment="1">
      <alignment vertical="center" wrapText="1"/>
    </xf>
    <xf numFmtId="0" fontId="7" fillId="0" borderId="3" xfId="4" applyFont="1" applyBorder="1" applyAlignment="1">
      <alignment vertical="center" wrapText="1"/>
    </xf>
    <xf numFmtId="0" fontId="7" fillId="0" borderId="4" xfId="4" applyFont="1" applyBorder="1" applyAlignment="1">
      <alignment vertical="center" wrapText="1"/>
    </xf>
    <xf numFmtId="0" fontId="7" fillId="0" borderId="5" xfId="4" applyFont="1" applyBorder="1" applyAlignment="1">
      <alignment vertical="center" wrapText="1"/>
    </xf>
    <xf numFmtId="0" fontId="7" fillId="0" borderId="6" xfId="4" applyFont="1" applyBorder="1" applyAlignment="1">
      <alignment horizontal="left" vertical="center"/>
    </xf>
    <xf numFmtId="0" fontId="7" fillId="0" borderId="7" xfId="4" applyFont="1" applyBorder="1" applyAlignment="1">
      <alignment horizontal="left" vertical="center"/>
    </xf>
    <xf numFmtId="0" fontId="7" fillId="0" borderId="8" xfId="4" applyFont="1" applyBorder="1" applyAlignment="1">
      <alignment horizontal="left" vertical="center"/>
    </xf>
    <xf numFmtId="0" fontId="8" fillId="0" borderId="9" xfId="4" applyFont="1" applyBorder="1" applyAlignment="1">
      <alignment horizontal="left" vertical="center"/>
    </xf>
    <xf numFmtId="0" fontId="7" fillId="0" borderId="6" xfId="4" applyFont="1" applyBorder="1" applyAlignment="1">
      <alignment horizontal="left" vertical="center" wrapText="1"/>
    </xf>
    <xf numFmtId="165" fontId="9" fillId="0" borderId="6" xfId="4" applyNumberFormat="1" applyFont="1" applyBorder="1" applyAlignment="1">
      <alignment horizontal="center" vertical="center"/>
    </xf>
    <xf numFmtId="0" fontId="10" fillId="0" borderId="6" xfId="4" applyFont="1" applyBorder="1" applyAlignment="1">
      <alignment horizontal="left" vertical="center"/>
    </xf>
    <xf numFmtId="0" fontId="10" fillId="0" borderId="10" xfId="4" applyFont="1" applyBorder="1" applyAlignment="1">
      <alignment horizontal="left" vertical="center"/>
    </xf>
    <xf numFmtId="0" fontId="9" fillId="0" borderId="9" xfId="4" applyFont="1" applyBorder="1" applyAlignment="1">
      <alignment vertical="center"/>
    </xf>
    <xf numFmtId="165" fontId="9" fillId="2" borderId="11" xfId="4" applyNumberFormat="1" applyFont="1" applyFill="1" applyBorder="1" applyAlignment="1">
      <alignment horizontal="center" vertical="center"/>
    </xf>
    <xf numFmtId="0" fontId="6" fillId="0" borderId="9" xfId="4" applyBorder="1"/>
    <xf numFmtId="165" fontId="9" fillId="0" borderId="9" xfId="4" applyNumberFormat="1" applyFont="1" applyBorder="1" applyAlignment="1">
      <alignment horizontal="center" vertical="center"/>
    </xf>
    <xf numFmtId="0" fontId="0" fillId="0" borderId="9" xfId="0" applyBorder="1" applyAlignment="1">
      <alignment vertical="center"/>
    </xf>
    <xf numFmtId="0" fontId="10" fillId="0" borderId="8" xfId="4" applyFont="1" applyBorder="1" applyAlignment="1">
      <alignment horizontal="left" vertical="center"/>
    </xf>
    <xf numFmtId="165" fontId="9" fillId="0" borderId="12" xfId="4" applyNumberFormat="1" applyFont="1" applyBorder="1" applyAlignment="1">
      <alignment horizontal="center" vertical="center"/>
    </xf>
    <xf numFmtId="0" fontId="6" fillId="0" borderId="12" xfId="4" applyBorder="1"/>
    <xf numFmtId="165" fontId="9" fillId="2" borderId="12" xfId="4" applyNumberFormat="1" applyFont="1" applyFill="1" applyBorder="1" applyAlignment="1">
      <alignment horizontal="center" vertical="center"/>
    </xf>
    <xf numFmtId="0" fontId="10" fillId="0" borderId="7" xfId="4" applyFont="1" applyBorder="1" applyAlignment="1">
      <alignment horizontal="left" vertical="center"/>
    </xf>
    <xf numFmtId="165" fontId="9" fillId="3" borderId="7" xfId="4" applyNumberFormat="1" applyFont="1" applyFill="1" applyBorder="1" applyAlignment="1">
      <alignment horizontal="center" vertical="center"/>
    </xf>
    <xf numFmtId="165" fontId="9" fillId="0" borderId="7" xfId="4" applyNumberFormat="1" applyFont="1" applyBorder="1" applyAlignment="1">
      <alignment horizontal="center" vertical="center"/>
    </xf>
    <xf numFmtId="0" fontId="10" fillId="0" borderId="9" xfId="4" applyFont="1" applyBorder="1" applyAlignment="1">
      <alignment horizontal="center" vertical="center"/>
    </xf>
    <xf numFmtId="0" fontId="10" fillId="0" borderId="9" xfId="4" applyFont="1" applyBorder="1" applyAlignment="1">
      <alignment horizontal="center" vertical="center" wrapText="1"/>
    </xf>
    <xf numFmtId="165" fontId="10" fillId="0" borderId="9" xfId="4" applyNumberFormat="1" applyFont="1" applyBorder="1" applyAlignment="1">
      <alignment horizontal="center" vertical="center" wrapText="1"/>
    </xf>
    <xf numFmtId="0" fontId="11" fillId="4" borderId="13" xfId="0" applyFont="1" applyFill="1" applyBorder="1"/>
    <xf numFmtId="0" fontId="11" fillId="4" borderId="14" xfId="0" applyFont="1" applyFill="1" applyBorder="1"/>
    <xf numFmtId="0" fontId="11" fillId="4" borderId="15" xfId="0" applyFont="1" applyFill="1" applyBorder="1"/>
    <xf numFmtId="0" fontId="11" fillId="4" borderId="16" xfId="0" applyFont="1" applyFill="1" applyBorder="1"/>
    <xf numFmtId="0" fontId="10" fillId="5" borderId="17" xfId="0" applyFont="1" applyFill="1" applyBorder="1" applyAlignment="1">
      <alignment horizontal="center" vertical="center"/>
    </xf>
    <xf numFmtId="0" fontId="10" fillId="6" borderId="18" xfId="0" applyFont="1" applyFill="1" applyBorder="1" applyAlignment="1">
      <alignment horizontal="center"/>
    </xf>
    <xf numFmtId="0" fontId="10" fillId="5" borderId="18" xfId="0" applyFont="1" applyFill="1" applyBorder="1" applyAlignment="1">
      <alignment horizontal="center"/>
    </xf>
    <xf numFmtId="0" fontId="10" fillId="7" borderId="18" xfId="0" applyFont="1" applyFill="1" applyBorder="1" applyAlignment="1">
      <alignment horizontal="center"/>
    </xf>
    <xf numFmtId="43" fontId="10" fillId="7" borderId="19" xfId="1" applyFont="1" applyFill="1" applyBorder="1" applyAlignment="1">
      <alignment horizontal="center"/>
    </xf>
    <xf numFmtId="0" fontId="10" fillId="6" borderId="20" xfId="0" applyFont="1" applyFill="1" applyBorder="1"/>
    <xf numFmtId="0" fontId="10" fillId="5" borderId="21" xfId="0" applyFont="1" applyFill="1" applyBorder="1" applyAlignment="1">
      <alignment horizontal="center"/>
    </xf>
    <xf numFmtId="43" fontId="10" fillId="7" borderId="22" xfId="1" applyFont="1" applyFill="1" applyBorder="1" applyAlignment="1">
      <alignment horizontal="center"/>
    </xf>
    <xf numFmtId="0" fontId="10" fillId="6" borderId="23" xfId="0" applyFont="1" applyFill="1" applyBorder="1"/>
    <xf numFmtId="0" fontId="10" fillId="5" borderId="24" xfId="0" applyFont="1" applyFill="1" applyBorder="1" applyAlignment="1">
      <alignment horizontal="center"/>
    </xf>
    <xf numFmtId="0" fontId="10" fillId="6" borderId="12" xfId="0" applyFont="1" applyFill="1" applyBorder="1" applyAlignment="1">
      <alignment horizontal="center"/>
    </xf>
    <xf numFmtId="0" fontId="11" fillId="0" borderId="25" xfId="0" applyFont="1" applyBorder="1"/>
    <xf numFmtId="43" fontId="10" fillId="5" borderId="26" xfId="1" applyFont="1" applyFill="1" applyBorder="1" applyAlignment="1" applyProtection="1">
      <alignment horizontal="right"/>
      <protection locked="0"/>
    </xf>
    <xf numFmtId="0" fontId="11" fillId="0" borderId="6" xfId="0" applyFont="1" applyBorder="1"/>
    <xf numFmtId="164" fontId="10" fillId="5" borderId="1" xfId="1" applyNumberFormat="1" applyFont="1" applyFill="1" applyBorder="1" applyAlignment="1" applyProtection="1">
      <alignment horizontal="right"/>
      <protection locked="0"/>
    </xf>
    <xf numFmtId="43" fontId="10" fillId="5" borderId="1" xfId="1" applyFont="1" applyFill="1" applyBorder="1" applyAlignment="1" applyProtection="1">
      <alignment horizontal="right"/>
      <protection locked="0"/>
    </xf>
    <xf numFmtId="43" fontId="10" fillId="7" borderId="1" xfId="1" applyFont="1" applyFill="1" applyBorder="1" applyAlignment="1" applyProtection="1">
      <alignment horizontal="right"/>
    </xf>
    <xf numFmtId="43" fontId="10" fillId="7" borderId="1" xfId="1" applyFont="1" applyFill="1" applyBorder="1" applyAlignment="1">
      <alignment horizontal="right"/>
    </xf>
    <xf numFmtId="0" fontId="11" fillId="0" borderId="27" xfId="0" applyFont="1" applyBorder="1"/>
    <xf numFmtId="43" fontId="10" fillId="7" borderId="2" xfId="1" applyFont="1" applyFill="1" applyBorder="1" applyAlignment="1">
      <alignment horizontal="right"/>
    </xf>
    <xf numFmtId="0" fontId="11" fillId="0" borderId="9" xfId="0" applyFont="1" applyBorder="1"/>
    <xf numFmtId="0" fontId="11" fillId="2" borderId="28" xfId="0" applyFont="1" applyFill="1" applyBorder="1" applyAlignment="1">
      <alignment horizontal="right"/>
    </xf>
    <xf numFmtId="0" fontId="11" fillId="0" borderId="25" xfId="0" applyFont="1" applyFill="1" applyBorder="1"/>
    <xf numFmtId="43" fontId="10" fillId="5" borderId="25" xfId="1" applyFont="1" applyFill="1" applyBorder="1"/>
    <xf numFmtId="0" fontId="11" fillId="0" borderId="10" xfId="0" applyFont="1" applyFill="1" applyBorder="1"/>
    <xf numFmtId="43" fontId="10" fillId="5" borderId="10" xfId="1" applyFont="1" applyFill="1" applyBorder="1"/>
    <xf numFmtId="0" fontId="11" fillId="0" borderId="6" xfId="0" applyFont="1" applyFill="1" applyBorder="1"/>
    <xf numFmtId="43" fontId="10" fillId="7" borderId="6" xfId="1" applyFont="1" applyFill="1" applyBorder="1"/>
    <xf numFmtId="43" fontId="10" fillId="5" borderId="6" xfId="1" applyFont="1" applyFill="1" applyBorder="1" applyAlignment="1">
      <alignment horizontal="right"/>
    </xf>
    <xf numFmtId="0" fontId="11" fillId="0" borderId="8" xfId="0" applyFont="1" applyFill="1" applyBorder="1"/>
    <xf numFmtId="0" fontId="11" fillId="0" borderId="27" xfId="0" applyFont="1" applyFill="1" applyBorder="1"/>
    <xf numFmtId="43" fontId="10" fillId="7" borderId="1" xfId="1" applyFont="1" applyFill="1" applyBorder="1" applyAlignment="1" applyProtection="1">
      <alignment horizontal="right"/>
      <protection locked="0"/>
    </xf>
    <xf numFmtId="43" fontId="10" fillId="7" borderId="6" xfId="1" applyNumberFormat="1" applyFont="1" applyFill="1" applyBorder="1"/>
    <xf numFmtId="43" fontId="11" fillId="2" borderId="8" xfId="1" applyFont="1" applyFill="1" applyBorder="1"/>
    <xf numFmtId="0" fontId="10" fillId="0" borderId="13" xfId="4" applyFont="1" applyBorder="1" applyAlignment="1">
      <alignment horizontal="center" vertical="center"/>
    </xf>
    <xf numFmtId="0" fontId="10" fillId="0" borderId="29" xfId="4" applyFont="1" applyBorder="1" applyAlignment="1">
      <alignment horizontal="center" vertical="center"/>
    </xf>
    <xf numFmtId="9" fontId="10" fillId="5" borderId="25" xfId="2" applyFont="1" applyFill="1" applyBorder="1"/>
    <xf numFmtId="43" fontId="11" fillId="5" borderId="25" xfId="1" applyFont="1" applyFill="1" applyBorder="1" applyAlignment="1">
      <alignment horizontal="left"/>
    </xf>
    <xf numFmtId="43" fontId="11" fillId="7" borderId="6" xfId="1" applyFont="1" applyFill="1" applyBorder="1" applyAlignment="1">
      <alignment horizontal="left"/>
    </xf>
    <xf numFmtId="43" fontId="11" fillId="2" borderId="8" xfId="1" applyFont="1" applyFill="1" applyBorder="1" applyAlignment="1">
      <alignment horizontal="left"/>
    </xf>
    <xf numFmtId="0" fontId="11" fillId="8" borderId="9" xfId="0" applyFont="1" applyFill="1" applyBorder="1" applyAlignment="1" applyProtection="1">
      <alignment horizontal="right"/>
      <protection locked="0"/>
    </xf>
    <xf numFmtId="0" fontId="11" fillId="8" borderId="9" xfId="0" applyFont="1" applyFill="1" applyBorder="1" applyAlignment="1" applyProtection="1">
      <alignment horizontal="left"/>
      <protection locked="0"/>
    </xf>
    <xf numFmtId="0" fontId="8" fillId="0" borderId="25" xfId="4" applyFont="1" applyBorder="1" applyAlignment="1">
      <alignment horizontal="left" vertical="center"/>
    </xf>
    <xf numFmtId="0" fontId="0" fillId="0" borderId="9" xfId="0" applyBorder="1"/>
    <xf numFmtId="0" fontId="7" fillId="0" borderId="6" xfId="4" applyFont="1" applyBorder="1" applyAlignment="1">
      <alignment vertical="center" wrapText="1"/>
    </xf>
    <xf numFmtId="0" fontId="7" fillId="0" borderId="8" xfId="4" applyFont="1" applyBorder="1" applyAlignment="1">
      <alignment vertical="center" wrapText="1"/>
    </xf>
    <xf numFmtId="0" fontId="10" fillId="0" borderId="30" xfId="0" applyFont="1" applyBorder="1" applyAlignment="1">
      <alignment vertical="center"/>
    </xf>
    <xf numFmtId="165" fontId="10" fillId="0" borderId="26" xfId="0" applyNumberFormat="1" applyFont="1" applyFill="1" applyBorder="1" applyAlignment="1">
      <alignment vertical="center"/>
    </xf>
    <xf numFmtId="0" fontId="10" fillId="0" borderId="20" xfId="0" applyFont="1" applyBorder="1" applyAlignment="1">
      <alignment vertical="center"/>
    </xf>
    <xf numFmtId="165" fontId="10" fillId="0" borderId="1" xfId="0" applyNumberFormat="1" applyFont="1" applyFill="1" applyBorder="1" applyAlignment="1">
      <alignment vertical="center"/>
    </xf>
    <xf numFmtId="165" fontId="10" fillId="0" borderId="31" xfId="0" applyNumberFormat="1" applyFont="1" applyFill="1" applyBorder="1" applyAlignment="1">
      <alignment vertical="center"/>
    </xf>
    <xf numFmtId="0" fontId="10" fillId="0" borderId="32" xfId="0" applyFont="1" applyBorder="1" applyAlignment="1">
      <alignment vertical="center"/>
    </xf>
    <xf numFmtId="4" fontId="12" fillId="0" borderId="20" xfId="0" applyNumberFormat="1" applyFont="1" applyBorder="1" applyAlignment="1">
      <alignment vertical="center"/>
    </xf>
    <xf numFmtId="4" fontId="12" fillId="0" borderId="23" xfId="0" applyNumberFormat="1" applyFont="1" applyBorder="1" applyAlignment="1">
      <alignment vertical="center"/>
    </xf>
    <xf numFmtId="165" fontId="10" fillId="0" borderId="33" xfId="0" applyNumberFormat="1" applyFont="1" applyFill="1" applyBorder="1" applyAlignment="1">
      <alignment vertical="center"/>
    </xf>
    <xf numFmtId="0" fontId="10" fillId="0" borderId="11" xfId="0" applyFont="1" applyBorder="1" applyAlignment="1">
      <alignment horizontal="right" vertical="center"/>
    </xf>
    <xf numFmtId="2" fontId="10" fillId="0" borderId="11" xfId="0" applyNumberFormat="1" applyFont="1" applyBorder="1" applyAlignment="1">
      <alignment horizontal="right" vertical="center"/>
    </xf>
    <xf numFmtId="0" fontId="10" fillId="0" borderId="9" xfId="0" applyFont="1" applyFill="1" applyBorder="1" applyAlignment="1">
      <alignment horizontal="right" vertical="center"/>
    </xf>
    <xf numFmtId="0" fontId="10" fillId="0" borderId="0" xfId="0" applyFont="1"/>
    <xf numFmtId="0" fontId="11" fillId="9" borderId="9" xfId="0" applyFont="1" applyFill="1" applyBorder="1" applyAlignment="1">
      <alignment horizontal="center" vertical="center" wrapText="1"/>
    </xf>
    <xf numFmtId="0" fontId="11" fillId="9" borderId="28" xfId="0" applyFont="1" applyFill="1" applyBorder="1" applyAlignment="1">
      <alignment horizontal="center" vertical="center" wrapText="1"/>
    </xf>
    <xf numFmtId="165" fontId="9" fillId="5" borderId="7" xfId="4" applyNumberFormat="1" applyFont="1" applyFill="1" applyBorder="1" applyAlignment="1" applyProtection="1">
      <alignment horizontal="center" vertical="center"/>
      <protection locked="0"/>
    </xf>
    <xf numFmtId="0" fontId="9" fillId="5" borderId="7" xfId="4" applyFont="1" applyFill="1" applyBorder="1" applyAlignment="1" applyProtection="1">
      <alignment horizontal="center" vertical="center"/>
      <protection locked="0"/>
    </xf>
    <xf numFmtId="165" fontId="9" fillId="5" borderId="6" xfId="4" applyNumberFormat="1" applyFont="1" applyFill="1" applyBorder="1" applyAlignment="1" applyProtection="1">
      <alignment horizontal="center" vertical="center"/>
      <protection locked="0"/>
    </xf>
    <xf numFmtId="0" fontId="9" fillId="5" borderId="6" xfId="4" applyFont="1" applyFill="1" applyBorder="1" applyAlignment="1" applyProtection="1">
      <alignment horizontal="center" vertical="center"/>
      <protection locked="0"/>
    </xf>
    <xf numFmtId="165" fontId="9" fillId="5" borderId="10" xfId="4" applyNumberFormat="1" applyFont="1" applyFill="1" applyBorder="1" applyAlignment="1" applyProtection="1">
      <alignment horizontal="center" vertical="center"/>
      <protection locked="0"/>
    </xf>
    <xf numFmtId="0" fontId="9" fillId="5" borderId="10" xfId="4" applyFont="1" applyFill="1" applyBorder="1" applyAlignment="1" applyProtection="1">
      <alignment horizontal="center" vertical="center"/>
      <protection locked="0"/>
    </xf>
    <xf numFmtId="165" fontId="9" fillId="5" borderId="8" xfId="4" applyNumberFormat="1" applyFont="1" applyFill="1" applyBorder="1" applyAlignment="1" applyProtection="1">
      <alignment horizontal="center" vertical="center"/>
      <protection locked="0"/>
    </xf>
    <xf numFmtId="0" fontId="9" fillId="5" borderId="8" xfId="4" applyFont="1" applyFill="1" applyBorder="1" applyAlignment="1" applyProtection="1">
      <alignment horizontal="center" vertical="center"/>
      <protection locked="0"/>
    </xf>
    <xf numFmtId="0" fontId="11" fillId="9" borderId="29" xfId="0" applyFont="1" applyFill="1" applyBorder="1" applyAlignment="1">
      <alignment horizontal="center"/>
    </xf>
    <xf numFmtId="0" fontId="11" fillId="9" borderId="34" xfId="0" applyFont="1" applyFill="1" applyBorder="1" applyAlignment="1">
      <alignment horizontal="center"/>
    </xf>
    <xf numFmtId="0" fontId="11" fillId="9" borderId="28" xfId="0" applyFont="1" applyFill="1" applyBorder="1" applyAlignment="1">
      <alignment horizontal="center"/>
    </xf>
    <xf numFmtId="0" fontId="0" fillId="0" borderId="34" xfId="0" applyBorder="1" applyAlignment="1">
      <alignment horizontal="center"/>
    </xf>
    <xf numFmtId="0" fontId="9" fillId="0" borderId="35" xfId="4"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7" fillId="0" borderId="10" xfId="4" applyFont="1" applyBorder="1" applyAlignment="1">
      <alignment horizontal="left" vertical="center"/>
    </xf>
    <xf numFmtId="0" fontId="7" fillId="0" borderId="27" xfId="4" applyFont="1" applyBorder="1" applyAlignment="1">
      <alignment horizontal="left" vertical="center"/>
    </xf>
    <xf numFmtId="0" fontId="7" fillId="0" borderId="7" xfId="4" applyFont="1" applyBorder="1" applyAlignment="1">
      <alignment horizontal="left" vertical="center"/>
    </xf>
  </cellXfs>
  <cellStyles count="6">
    <cellStyle name="Komma" xfId="1" builtinId="3"/>
    <cellStyle name="Procent" xfId="2" builtinId="5"/>
    <cellStyle name="Standaard" xfId="0" builtinId="0"/>
    <cellStyle name="Standaard 2" xfId="3" xr:uid="{00000000-0005-0000-0000-000003000000}"/>
    <cellStyle name="Standaard 3" xfId="4" xr:uid="{00000000-0005-0000-0000-000004000000}"/>
    <cellStyle name="Standaard 4"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1"/>
  <sheetViews>
    <sheetView tabSelected="1" topLeftCell="A3" workbookViewId="0">
      <selection activeCell="B20" sqref="B20"/>
    </sheetView>
  </sheetViews>
  <sheetFormatPr defaultRowHeight="12.75" x14ac:dyDescent="0.2"/>
  <cols>
    <col min="1" max="1" width="46.5703125" bestFit="1" customWidth="1"/>
    <col min="2" max="2" width="24.85546875" bestFit="1" customWidth="1"/>
    <col min="5" max="5" width="32" bestFit="1" customWidth="1"/>
    <col min="6" max="6" width="10.28515625" bestFit="1" customWidth="1"/>
    <col min="7" max="7" width="23.7109375" bestFit="1" customWidth="1"/>
    <col min="8" max="8" width="31.140625" bestFit="1" customWidth="1"/>
    <col min="9" max="9" width="16.5703125" bestFit="1" customWidth="1"/>
    <col min="10" max="10" width="22.7109375" bestFit="1" customWidth="1"/>
    <col min="11" max="11" width="16.5703125" bestFit="1" customWidth="1"/>
    <col min="12" max="12" width="41.28515625" bestFit="1" customWidth="1"/>
    <col min="13" max="13" width="23.28515625" style="96" customWidth="1"/>
    <col min="14" max="14" width="26.28515625" style="96" customWidth="1"/>
  </cols>
  <sheetData>
    <row r="1" spans="1:14" ht="13.5" thickBot="1" x14ac:dyDescent="0.25">
      <c r="A1" s="107" t="s">
        <v>74</v>
      </c>
      <c r="B1" s="108">
        <v>2023</v>
      </c>
      <c r="C1" s="1"/>
      <c r="H1" s="1"/>
      <c r="M1" s="97" t="s">
        <v>30</v>
      </c>
      <c r="N1" s="98" t="s">
        <v>31</v>
      </c>
    </row>
    <row r="2" spans="1:14" ht="13.5" thickBot="1" x14ac:dyDescent="0.25">
      <c r="A2" s="49" t="s">
        <v>79</v>
      </c>
      <c r="B2" s="50">
        <v>700</v>
      </c>
      <c r="C2" s="1"/>
      <c r="E2" s="107" t="s">
        <v>76</v>
      </c>
      <c r="F2" s="108"/>
      <c r="G2" s="108"/>
      <c r="H2" s="108"/>
      <c r="I2" s="108"/>
      <c r="J2" s="109"/>
      <c r="M2" s="93">
        <v>1914</v>
      </c>
      <c r="N2" s="94">
        <v>154.39473913043474</v>
      </c>
    </row>
    <row r="3" spans="1:14" ht="13.5" thickBot="1" x14ac:dyDescent="0.25">
      <c r="A3" s="51" t="s">
        <v>97</v>
      </c>
      <c r="B3" s="52">
        <v>2</v>
      </c>
      <c r="C3" s="1"/>
      <c r="E3" s="34" t="s">
        <v>5</v>
      </c>
      <c r="F3" s="35" t="s">
        <v>6</v>
      </c>
      <c r="G3" s="36" t="s">
        <v>8</v>
      </c>
      <c r="H3" s="36" t="s">
        <v>7</v>
      </c>
      <c r="I3" s="36" t="s">
        <v>4</v>
      </c>
      <c r="J3" s="37" t="s">
        <v>3</v>
      </c>
      <c r="M3" s="93">
        <v>1915</v>
      </c>
      <c r="N3" s="94">
        <v>106.91511764705882</v>
      </c>
    </row>
    <row r="4" spans="1:14" ht="13.5" thickBot="1" x14ac:dyDescent="0.25">
      <c r="A4" s="51" t="s">
        <v>27</v>
      </c>
      <c r="B4" s="69">
        <f>I15</f>
        <v>15000</v>
      </c>
      <c r="C4" s="1"/>
      <c r="E4" s="38">
        <v>1989</v>
      </c>
      <c r="F4" s="39"/>
      <c r="G4" s="40">
        <v>105000</v>
      </c>
      <c r="H4" s="40">
        <v>0</v>
      </c>
      <c r="I4" s="41">
        <f>VLOOKUP(E4,$M$2:$N$111,2,FALSE)</f>
        <v>2.0427122026887279</v>
      </c>
      <c r="J4" s="42">
        <f>PRODUCT(G4+H4,I4)</f>
        <v>214484.78128231643</v>
      </c>
      <c r="M4" s="93">
        <v>1916</v>
      </c>
      <c r="N4" s="94">
        <v>80.851065217391294</v>
      </c>
    </row>
    <row r="5" spans="1:14" ht="13.5" thickBot="1" x14ac:dyDescent="0.25">
      <c r="A5" s="51" t="s">
        <v>77</v>
      </c>
      <c r="B5" s="53">
        <v>650</v>
      </c>
      <c r="C5" s="1"/>
      <c r="D5" s="2"/>
      <c r="E5" s="43"/>
      <c r="F5" s="44">
        <v>1998</v>
      </c>
      <c r="G5" s="39">
        <v>0</v>
      </c>
      <c r="H5" s="40">
        <v>20000</v>
      </c>
      <c r="I5" s="41">
        <f>VLOOKUP(F5,$M$2:$N$111,2,FALSE)</f>
        <v>1.8874302334722115</v>
      </c>
      <c r="J5" s="45">
        <f>PRODUCT(H5,I5)</f>
        <v>37748.604669444227</v>
      </c>
      <c r="M5" s="93">
        <v>1917</v>
      </c>
      <c r="N5" s="94">
        <v>60.406111111111102</v>
      </c>
    </row>
    <row r="6" spans="1:14" ht="13.5" thickBot="1" x14ac:dyDescent="0.25">
      <c r="A6" s="51" t="s">
        <v>98</v>
      </c>
      <c r="B6" s="54">
        <f>ROUNDDOWN((B4-IF(B3&lt;2,B3*1405,2*1405)+1254)/20059,4)</f>
        <v>0.67020000000000002</v>
      </c>
      <c r="C6" s="1"/>
      <c r="D6" s="2"/>
      <c r="E6" s="46"/>
      <c r="F6" s="47">
        <v>2014</v>
      </c>
      <c r="G6" s="48">
        <v>0</v>
      </c>
      <c r="H6" s="47">
        <v>10000</v>
      </c>
      <c r="I6" s="41">
        <f>VLOOKUP(F6,$M$2:$N$111,2,FALSE)</f>
        <v>1.2160040516586477</v>
      </c>
      <c r="J6" s="45">
        <f>PRODUCT(H6,I6)</f>
        <v>12160.040516586476</v>
      </c>
      <c r="M6" s="93">
        <v>1918</v>
      </c>
      <c r="N6" s="94">
        <v>54.089194444444438</v>
      </c>
    </row>
    <row r="7" spans="1:14" ht="13.5" thickBot="1" x14ac:dyDescent="0.25">
      <c r="A7" s="51" t="s">
        <v>3</v>
      </c>
      <c r="B7" s="55">
        <f>SUM(J4:J6)</f>
        <v>264393.42646834714</v>
      </c>
      <c r="C7" s="1"/>
      <c r="D7" s="2"/>
      <c r="E7" s="2"/>
      <c r="F7" s="2"/>
      <c r="G7" s="2"/>
      <c r="H7" s="1"/>
      <c r="M7" s="93">
        <v>1919</v>
      </c>
      <c r="N7" s="94">
        <v>49.205679012345684</v>
      </c>
    </row>
    <row r="8" spans="1:14" ht="13.5" thickBot="1" x14ac:dyDescent="0.25">
      <c r="A8" s="51" t="s">
        <v>78</v>
      </c>
      <c r="B8" s="54">
        <f>ROUND(B2*12*100/B7,4)</f>
        <v>3.1770999999999998</v>
      </c>
      <c r="C8" s="1"/>
      <c r="D8" s="2"/>
      <c r="E8" s="107" t="s">
        <v>95</v>
      </c>
      <c r="F8" s="108"/>
      <c r="G8" s="110"/>
      <c r="H8" s="110"/>
      <c r="I8" s="110"/>
      <c r="M8" s="93">
        <v>1920</v>
      </c>
      <c r="N8" s="94">
        <v>44.801076923076927</v>
      </c>
    </row>
    <row r="9" spans="1:14" ht="13.5" thickBot="1" x14ac:dyDescent="0.25">
      <c r="A9" s="51" t="s">
        <v>20</v>
      </c>
      <c r="B9" s="54">
        <f>ROUND(B2*B6,4)</f>
        <v>469.14</v>
      </c>
      <c r="C9" s="1"/>
      <c r="D9" s="2"/>
      <c r="E9" s="72" t="s">
        <v>35</v>
      </c>
      <c r="F9" s="72" t="s">
        <v>36</v>
      </c>
      <c r="G9" s="72" t="s">
        <v>39</v>
      </c>
      <c r="H9" s="73" t="s">
        <v>93</v>
      </c>
      <c r="I9" s="31" t="s">
        <v>40</v>
      </c>
      <c r="M9" s="93">
        <v>1921</v>
      </c>
      <c r="N9" s="94">
        <v>41.729379999999999</v>
      </c>
    </row>
    <row r="10" spans="1:14" ht="13.5" thickBot="1" x14ac:dyDescent="0.25">
      <c r="A10" s="51" t="s">
        <v>16</v>
      </c>
      <c r="B10" s="55">
        <f>IF(B3&gt;=6,ROUND(B9-0.5*B2,2),IF(B3=5,ROUND(B9-0.4*B2,2),IF(B3=4,ROUND(B9-0.3*B2,2),IF(B3=3,ROUND(B9-0.2*B2,2),B9))))</f>
        <v>469.14</v>
      </c>
      <c r="C10" s="1"/>
      <c r="D10" s="2"/>
      <c r="E10" s="28" t="s">
        <v>94</v>
      </c>
      <c r="F10" s="99">
        <v>10000</v>
      </c>
      <c r="G10" s="100" t="s">
        <v>41</v>
      </c>
      <c r="H10" s="100" t="s">
        <v>41</v>
      </c>
      <c r="I10" s="30">
        <f>IF(OR(G10="",H10=""),"",ROUND(IF(G10="ja",0,IF(H10="ja",MAX(0,MIN(F10,F10-13660.01)),F10)),2))</f>
        <v>10000</v>
      </c>
      <c r="M10" s="93">
        <v>1922</v>
      </c>
      <c r="N10" s="94">
        <v>38.115875000000003</v>
      </c>
    </row>
    <row r="11" spans="1:14" ht="13.5" thickBot="1" x14ac:dyDescent="0.25">
      <c r="A11" s="51" t="s">
        <v>1</v>
      </c>
      <c r="B11" s="55">
        <f>B2/2</f>
        <v>350</v>
      </c>
      <c r="C11" s="1"/>
      <c r="D11" s="2"/>
      <c r="E11" s="17" t="s">
        <v>42</v>
      </c>
      <c r="F11" s="101">
        <v>12500</v>
      </c>
      <c r="G11" s="102" t="s">
        <v>41</v>
      </c>
      <c r="H11" s="102" t="s">
        <v>43</v>
      </c>
      <c r="I11" s="30">
        <f>IF(OR(G11="",H11=""),"",ROUND(IF(G11="ja",0,IF(H11="ja",MAX(0,MIN(F11,F11-13660.01)),F11)),2))</f>
        <v>0</v>
      </c>
      <c r="M11" s="93">
        <v>1923</v>
      </c>
      <c r="N11" s="94">
        <v>36.721176470588233</v>
      </c>
    </row>
    <row r="12" spans="1:14" ht="13.5" thickBot="1" x14ac:dyDescent="0.25">
      <c r="A12" s="56" t="s">
        <v>2</v>
      </c>
      <c r="B12" s="57">
        <f>ROUND(B4/60,2)</f>
        <v>250</v>
      </c>
      <c r="C12" s="1"/>
      <c r="D12" s="2"/>
      <c r="E12" s="17" t="s">
        <v>46</v>
      </c>
      <c r="F12" s="101">
        <v>5000</v>
      </c>
      <c r="G12" s="102" t="s">
        <v>41</v>
      </c>
      <c r="H12" s="102" t="s">
        <v>41</v>
      </c>
      <c r="I12" s="30">
        <f>IF(OR(G12="",H12=""),"",ROUND(IF(G12="ja",0,IF(H12="ja",MAX(0,MIN(F12,F12-13660.01)),F12)),2))</f>
        <v>5000</v>
      </c>
      <c r="M12" s="93">
        <v>1924</v>
      </c>
      <c r="N12" s="94">
        <v>32.872514705882352</v>
      </c>
    </row>
    <row r="13" spans="1:14" ht="13.5" thickBot="1" x14ac:dyDescent="0.25">
      <c r="A13" s="58" t="s">
        <v>21</v>
      </c>
      <c r="B13" s="59">
        <f>IF(IF(ROUND(B6*B2,2)&lt;(B2/2),B2/2,IF(AND(ROUND(B6*B2,2),(B4/60)&lt;(B2/2)),B2/2,IF(AND(B10&gt;B2/2,B4/60&lt;B5,B10&gt;(B4/60)),ROUND(B4/60,2),IF(AND(B10&gt;B2/2,B4/60&gt;B5,B10&gt;B5),B5,B10))))&lt;B2/2,B2/2,IF(ROUND(B6*B2,2)&lt;B2/2,B2/2,IF(AND(ROUND(B6*B2,2)&gt;B2/2,B4/60&lt;B2/2),B2/2,IF(AND(B10&gt;B2/2,B4/60&lt;B5,B10&gt;B4/60),ROUND(B4/60,2),IF(AND(B10&gt;B2/2,B4/60&gt;B5,B10&gt;B5),B5,B10)))))</f>
        <v>350</v>
      </c>
      <c r="C13" s="1"/>
      <c r="D13" s="2"/>
      <c r="E13" s="17"/>
      <c r="F13" s="101"/>
      <c r="G13" s="102"/>
      <c r="H13" s="102"/>
      <c r="I13" s="30" t="str">
        <f>IF(OR(G13="",H13=""),"",ROUND(IF(G13="ja",0,IF(H13="ja",MAX(0,MIN(F13,F13-13660.01)),F13)),2))</f>
        <v/>
      </c>
      <c r="M13" s="93">
        <v>1925</v>
      </c>
      <c r="N13" s="94">
        <v>39.773086956521745</v>
      </c>
    </row>
    <row r="14" spans="1:14" ht="13.5" thickBot="1" x14ac:dyDescent="0.25">
      <c r="A14" s="107" t="s">
        <v>75</v>
      </c>
      <c r="B14" s="108">
        <v>2023</v>
      </c>
      <c r="E14" s="18"/>
      <c r="F14" s="103"/>
      <c r="G14" s="104"/>
      <c r="H14" s="104"/>
      <c r="I14" s="30" t="str">
        <f>IF(OR(G14="",H14=""),"",ROUND(IF(G14="ja",0,IF(H14="ja",MAX(0,MIN(F14,F14-13660.01)),F14)),2))</f>
        <v/>
      </c>
      <c r="M14" s="93">
        <v>1926</v>
      </c>
      <c r="N14" s="94">
        <v>35.202631578947368</v>
      </c>
    </row>
    <row r="15" spans="1:14" ht="15.75" thickBot="1" x14ac:dyDescent="0.3">
      <c r="A15" s="60" t="s">
        <v>87</v>
      </c>
      <c r="B15" s="61">
        <v>700</v>
      </c>
      <c r="E15" s="19" t="s">
        <v>49</v>
      </c>
      <c r="F15" s="23"/>
      <c r="G15" s="22"/>
      <c r="H15" s="21"/>
      <c r="I15" s="20">
        <f>SUM(I10:I14)</f>
        <v>15000</v>
      </c>
      <c r="M15" s="93">
        <v>1927</v>
      </c>
      <c r="N15" s="94">
        <v>31.103863636363634</v>
      </c>
    </row>
    <row r="16" spans="1:14" ht="13.5" thickBot="1" x14ac:dyDescent="0.25">
      <c r="A16" s="62" t="s">
        <v>88</v>
      </c>
      <c r="B16" s="63">
        <v>0</v>
      </c>
      <c r="M16" s="93">
        <v>1928</v>
      </c>
      <c r="N16" s="94">
        <v>26.218406417112305</v>
      </c>
    </row>
    <row r="17" spans="1:14" ht="13.5" thickBot="1" x14ac:dyDescent="0.25">
      <c r="A17" s="64" t="s">
        <v>80</v>
      </c>
      <c r="B17" s="65">
        <f>ROUND(MAX(139,MIN(278,139+139*(B15-314)/(816-314))),0)</f>
        <v>246</v>
      </c>
      <c r="E17" s="107" t="s">
        <v>96</v>
      </c>
      <c r="F17" s="108"/>
      <c r="G17" s="110"/>
      <c r="H17" s="110"/>
      <c r="I17" s="110"/>
      <c r="J17" s="110"/>
      <c r="K17" s="110"/>
      <c r="M17" s="93">
        <v>1929</v>
      </c>
      <c r="N17" s="94">
        <v>22.491878923766816</v>
      </c>
    </row>
    <row r="18" spans="1:14" ht="24.75" thickBot="1" x14ac:dyDescent="0.25">
      <c r="A18" s="64" t="s">
        <v>89</v>
      </c>
      <c r="B18" s="65">
        <f>ROUND(MAX(0,MIN(160,160*(816-B15)/(816-314))),0)</f>
        <v>37</v>
      </c>
      <c r="E18" s="31" t="s">
        <v>35</v>
      </c>
      <c r="F18" s="31" t="s">
        <v>36</v>
      </c>
      <c r="G18" s="31" t="s">
        <v>37</v>
      </c>
      <c r="H18" s="31" t="s">
        <v>38</v>
      </c>
      <c r="I18" s="32" t="s">
        <v>39</v>
      </c>
      <c r="J18" s="33" t="s">
        <v>93</v>
      </c>
      <c r="K18" s="32" t="s">
        <v>40</v>
      </c>
      <c r="M18" s="93">
        <v>1930</v>
      </c>
      <c r="N18" s="94">
        <v>24.679509615384614</v>
      </c>
    </row>
    <row r="19" spans="1:14" ht="13.5" thickBot="1" x14ac:dyDescent="0.25">
      <c r="A19" s="51" t="s">
        <v>97</v>
      </c>
      <c r="B19" s="52">
        <v>2</v>
      </c>
      <c r="E19" s="28" t="s">
        <v>94</v>
      </c>
      <c r="F19" s="99">
        <v>10000</v>
      </c>
      <c r="G19" s="100">
        <v>2020</v>
      </c>
      <c r="H19" s="29">
        <f>IF(OR(F19="",G19=""),"",IF(G19=2020,F19*1.0997,IF(G19=2021,F19*1.0873,F19*1)))</f>
        <v>10996.999999999998</v>
      </c>
      <c r="I19" s="100" t="s">
        <v>41</v>
      </c>
      <c r="J19" s="100" t="s">
        <v>41</v>
      </c>
      <c r="K19" s="30">
        <f>IF(OR(I19="",J19=""),"",ROUND(IF(I19="ja",0,IF(J19="ja",MAX(0,MIN(H19,H19-13660.01)),H19)),2))</f>
        <v>10997</v>
      </c>
      <c r="M19" s="93">
        <v>1931</v>
      </c>
      <c r="N19" s="94">
        <v>29.680158192090392</v>
      </c>
    </row>
    <row r="20" spans="1:14" ht="13.5" thickBot="1" x14ac:dyDescent="0.25">
      <c r="A20" s="64" t="s">
        <v>90</v>
      </c>
      <c r="B20" s="65">
        <f>B19*21</f>
        <v>42</v>
      </c>
      <c r="E20" s="17" t="s">
        <v>42</v>
      </c>
      <c r="F20" s="101">
        <v>12500</v>
      </c>
      <c r="G20" s="102">
        <v>2020</v>
      </c>
      <c r="H20" s="29">
        <f>IF(OR(F20="",G20=""),"",IF(G20=2020,F20*1.0997,IF(G20=2021,F20*1.0873,F20*1)))</f>
        <v>13746.249999999998</v>
      </c>
      <c r="I20" s="102" t="s">
        <v>41</v>
      </c>
      <c r="J20" s="102" t="s">
        <v>43</v>
      </c>
      <c r="K20" s="16">
        <f>IF(OR(I20="",J20=""),"",ROUND(IF(I20="ja",0,IF(J20="ja",MAX(0,MIN(H20,H20-13660.01)),H20)),2))</f>
        <v>86.24</v>
      </c>
      <c r="M20" s="93">
        <v>1932</v>
      </c>
      <c r="N20" s="94">
        <v>32.779506097560983</v>
      </c>
    </row>
    <row r="21" spans="1:14" ht="13.5" thickBot="1" x14ac:dyDescent="0.25">
      <c r="A21" s="64" t="s">
        <v>92</v>
      </c>
      <c r="B21" s="66" t="s">
        <v>47</v>
      </c>
      <c r="E21" s="17" t="s">
        <v>46</v>
      </c>
      <c r="F21" s="101">
        <v>5000</v>
      </c>
      <c r="G21" s="102">
        <v>2020</v>
      </c>
      <c r="H21" s="29">
        <f>IF(OR(F21="",G21=""),"",IF(G21=2020,F21*1.0997,IF(G21=2021,F21*1.0873,F21*1)))</f>
        <v>5498.4999999999991</v>
      </c>
      <c r="I21" s="102" t="s">
        <v>41</v>
      </c>
      <c r="J21" s="102" t="s">
        <v>41</v>
      </c>
      <c r="K21" s="16">
        <f>IF(OR(I21="",J21=""),"",ROUND(IF(I21="ja",0,IF(J21="ja",MAX(0,MIN(H21,H21-13660.01)),H21)),2))</f>
        <v>5498.5</v>
      </c>
      <c r="M21" s="93">
        <v>1933</v>
      </c>
      <c r="N21" s="94">
        <v>37.9358</v>
      </c>
    </row>
    <row r="22" spans="1:14" ht="13.5" thickBot="1" x14ac:dyDescent="0.25">
      <c r="A22" s="64" t="s">
        <v>91</v>
      </c>
      <c r="B22" s="65">
        <f>VLOOKUP(B21,E27:F36,2,FALSE)</f>
        <v>46868</v>
      </c>
      <c r="E22" s="17"/>
      <c r="F22" s="101"/>
      <c r="G22" s="102"/>
      <c r="H22" s="29" t="str">
        <f>IF(OR(F22="",G22=""),"",IF(G22=2020,F22*1.0997,IF(G22=2021,F22*1.0873,F22*1)))</f>
        <v/>
      </c>
      <c r="I22" s="102"/>
      <c r="J22" s="102"/>
      <c r="K22" s="16" t="str">
        <f>IF(OR(I22="",J22=""),"",ROUND(IF(I22="ja",0,IF(J22="ja",MAX(0,MIN(H22,H22-13660.01)),H22)),2))</f>
        <v/>
      </c>
      <c r="M22" s="93">
        <v>1934</v>
      </c>
      <c r="N22" s="94">
        <v>38.25266666666667</v>
      </c>
    </row>
    <row r="23" spans="1:14" ht="13.5" thickBot="1" x14ac:dyDescent="0.25">
      <c r="A23" s="64" t="s">
        <v>98</v>
      </c>
      <c r="B23" s="70">
        <f>IF(K24&lt;=B22,1/55,IF(K24&lt;B22*1.25,1/54,IF(K24&lt;B24*1.5,1/53,1/52)))</f>
        <v>1.8181818181818181E-2</v>
      </c>
      <c r="E23" s="24"/>
      <c r="F23" s="105"/>
      <c r="G23" s="106"/>
      <c r="H23" s="29" t="str">
        <f>IF(OR(F23="",G23=""),"",IF(G23=2020,F23*1.0997,IF(G23=2021,F23*1.0873,F23*1)))</f>
        <v/>
      </c>
      <c r="I23" s="106"/>
      <c r="J23" s="106"/>
      <c r="K23" s="16" t="str">
        <f>IF(OR(I23="",J23=""),"",ROUND(IF(I23="ja",0,IF(J23="ja",MAX(0,MIN(H23,H23-13660.01)),H23)),2))</f>
        <v/>
      </c>
      <c r="M23" s="93">
        <v>1935</v>
      </c>
      <c r="N23" s="94">
        <v>36.923070512820509</v>
      </c>
    </row>
    <row r="24" spans="1:14" ht="15.75" thickBot="1" x14ac:dyDescent="0.3">
      <c r="A24" s="68" t="s">
        <v>13</v>
      </c>
      <c r="B24" s="69">
        <f>K24</f>
        <v>16581.739999999998</v>
      </c>
      <c r="E24" s="111" t="s">
        <v>49</v>
      </c>
      <c r="F24" s="112"/>
      <c r="G24" s="113"/>
      <c r="H24" s="25">
        <f>SUM(H19:H23)</f>
        <v>30241.749999999996</v>
      </c>
      <c r="I24" s="25"/>
      <c r="J24" s="26"/>
      <c r="K24" s="27">
        <f>SUM(K19:K23)</f>
        <v>16581.739999999998</v>
      </c>
      <c r="M24" s="93">
        <v>1936</v>
      </c>
      <c r="N24" s="94">
        <v>33.876178160919537</v>
      </c>
    </row>
    <row r="25" spans="1:14" ht="13.5" thickBot="1" x14ac:dyDescent="0.25">
      <c r="A25" s="67" t="s">
        <v>48</v>
      </c>
      <c r="B25" s="71">
        <f>MAX(B17+B16,MIN(B15,B24*B23-B18-B20+B16))</f>
        <v>246</v>
      </c>
      <c r="M25" s="93">
        <v>1937</v>
      </c>
      <c r="N25" s="94">
        <v>28.857952153110048</v>
      </c>
    </row>
    <row r="26" spans="1:14" ht="13.5" thickBot="1" x14ac:dyDescent="0.25">
      <c r="A26" s="107" t="s">
        <v>101</v>
      </c>
      <c r="B26" s="110"/>
      <c r="E26" s="107" t="s">
        <v>64</v>
      </c>
      <c r="F26" s="108"/>
      <c r="M26" s="93">
        <v>1938</v>
      </c>
      <c r="N26" s="94">
        <v>22.938921933085503</v>
      </c>
    </row>
    <row r="27" spans="1:14" ht="13.5" thickBot="1" x14ac:dyDescent="0.25">
      <c r="A27" s="60" t="s">
        <v>62</v>
      </c>
      <c r="B27" s="65">
        <f>B25-B13</f>
        <v>-104</v>
      </c>
      <c r="E27" s="84" t="s">
        <v>65</v>
      </c>
      <c r="F27" s="85">
        <v>30460</v>
      </c>
      <c r="M27" s="93">
        <v>1939</v>
      </c>
      <c r="N27" s="94">
        <v>27.695745614035086</v>
      </c>
    </row>
    <row r="28" spans="1:14" ht="13.5" thickBot="1" x14ac:dyDescent="0.25">
      <c r="A28" s="64" t="s">
        <v>63</v>
      </c>
      <c r="B28" s="74">
        <v>0.25</v>
      </c>
      <c r="C28" s="3"/>
      <c r="D28" s="3"/>
      <c r="E28" s="86" t="s">
        <v>66</v>
      </c>
      <c r="F28" s="87">
        <v>28105</v>
      </c>
      <c r="G28" s="3"/>
      <c r="H28" s="3"/>
      <c r="M28" s="93">
        <v>1940</v>
      </c>
      <c r="N28" s="94">
        <v>20.190909375</v>
      </c>
    </row>
    <row r="29" spans="1:14" ht="13.5" thickBot="1" x14ac:dyDescent="0.25">
      <c r="A29" s="67" t="s">
        <v>102</v>
      </c>
      <c r="B29" s="78">
        <f>B13+(B27*B28)</f>
        <v>324</v>
      </c>
      <c r="C29" s="4"/>
      <c r="D29" s="3"/>
      <c r="E29" s="86" t="s">
        <v>67</v>
      </c>
      <c r="F29" s="87">
        <v>42156</v>
      </c>
      <c r="G29" s="3"/>
      <c r="H29" s="3"/>
      <c r="M29" s="93">
        <v>1941</v>
      </c>
      <c r="N29" s="94">
        <v>14.500776315789471</v>
      </c>
    </row>
    <row r="30" spans="1:14" ht="13.5" thickBot="1" x14ac:dyDescent="0.25">
      <c r="C30" s="3"/>
      <c r="D30" s="3"/>
      <c r="E30" s="86" t="s">
        <v>68</v>
      </c>
      <c r="F30" s="88">
        <v>44512</v>
      </c>
      <c r="G30" s="3"/>
      <c r="H30" s="3"/>
      <c r="M30" s="93">
        <v>1942</v>
      </c>
      <c r="N30" s="94">
        <v>12.483428044280442</v>
      </c>
    </row>
    <row r="31" spans="1:14" ht="13.5" thickBot="1" x14ac:dyDescent="0.25">
      <c r="A31" s="75" t="s">
        <v>9</v>
      </c>
      <c r="E31" s="89" t="s">
        <v>47</v>
      </c>
      <c r="F31" s="88">
        <v>46868</v>
      </c>
      <c r="M31" s="93">
        <v>1943</v>
      </c>
      <c r="N31" s="94">
        <v>9.5116538461538465</v>
      </c>
    </row>
    <row r="32" spans="1:14" ht="13.5" thickBot="1" x14ac:dyDescent="0.25">
      <c r="A32" s="76" t="s">
        <v>10</v>
      </c>
      <c r="E32" s="90" t="s">
        <v>69</v>
      </c>
      <c r="F32" s="88">
        <v>49224</v>
      </c>
      <c r="M32" s="93">
        <v>1944</v>
      </c>
      <c r="N32" s="94">
        <v>8.200637731481482</v>
      </c>
    </row>
    <row r="33" spans="1:14" ht="13.5" thickBot="1" x14ac:dyDescent="0.25">
      <c r="A33" s="77" t="s">
        <v>103</v>
      </c>
      <c r="E33" s="90" t="s">
        <v>70</v>
      </c>
      <c r="F33" s="88">
        <v>51580</v>
      </c>
      <c r="M33" s="93">
        <v>1945</v>
      </c>
      <c r="N33" s="94">
        <v>6.7766542056074766</v>
      </c>
    </row>
    <row r="34" spans="1:14" ht="13.5" thickBot="1" x14ac:dyDescent="0.25">
      <c r="A34" s="79" t="s">
        <v>104</v>
      </c>
      <c r="E34" s="90" t="s">
        <v>71</v>
      </c>
      <c r="F34" s="88">
        <v>53936</v>
      </c>
      <c r="M34" s="93">
        <v>1946</v>
      </c>
      <c r="N34" s="94">
        <v>6.5251451187335086</v>
      </c>
    </row>
    <row r="35" spans="1:14" ht="13.5" thickBot="1" x14ac:dyDescent="0.25">
      <c r="E35" s="90" t="s">
        <v>72</v>
      </c>
      <c r="F35" s="88">
        <v>56292</v>
      </c>
      <c r="M35" s="93">
        <v>1947</v>
      </c>
      <c r="N35" s="94">
        <v>5.7427851739788203</v>
      </c>
    </row>
    <row r="36" spans="1:14" ht="13.5" thickBot="1" x14ac:dyDescent="0.25">
      <c r="E36" s="91" t="s">
        <v>73</v>
      </c>
      <c r="F36" s="92">
        <v>58648</v>
      </c>
      <c r="M36" s="93">
        <v>1948</v>
      </c>
      <c r="N36" s="94">
        <v>6.0986153846153845</v>
      </c>
    </row>
    <row r="37" spans="1:14" ht="13.5" thickBot="1" x14ac:dyDescent="0.25">
      <c r="M37" s="93">
        <v>1949</v>
      </c>
      <c r="N37" s="94">
        <v>6.3143057982525814</v>
      </c>
    </row>
    <row r="38" spans="1:14" ht="13.5" thickBot="1" x14ac:dyDescent="0.25">
      <c r="M38" s="93">
        <v>1950</v>
      </c>
      <c r="N38" s="94">
        <v>5.9813147058823537</v>
      </c>
    </row>
    <row r="39" spans="1:14" ht="13.5" thickBot="1" x14ac:dyDescent="0.25">
      <c r="M39" s="93">
        <v>1951</v>
      </c>
      <c r="N39" s="94">
        <v>5.3463500321130377</v>
      </c>
    </row>
    <row r="40" spans="1:14" ht="13.5" thickBot="1" x14ac:dyDescent="0.25">
      <c r="M40" s="93">
        <v>1952</v>
      </c>
      <c r="N40" s="94">
        <v>5.503067183462532</v>
      </c>
    </row>
    <row r="41" spans="1:14" ht="13.5" thickBot="1" x14ac:dyDescent="0.25">
      <c r="M41" s="93">
        <v>1953</v>
      </c>
      <c r="N41" s="94">
        <v>6.2005910384068281</v>
      </c>
    </row>
    <row r="42" spans="1:14" ht="13.5" thickBot="1" x14ac:dyDescent="0.25">
      <c r="M42" s="93">
        <v>1954</v>
      </c>
      <c r="N42" s="94">
        <v>6.0719639210347172</v>
      </c>
    </row>
    <row r="43" spans="1:14" ht="13.5" thickBot="1" x14ac:dyDescent="0.25">
      <c r="M43" s="93">
        <v>1955</v>
      </c>
      <c r="N43" s="94">
        <v>6.5157758743754464</v>
      </c>
    </row>
    <row r="44" spans="1:14" ht="13.5" thickBot="1" x14ac:dyDescent="0.25">
      <c r="M44" s="93">
        <v>1956</v>
      </c>
      <c r="N44" s="94">
        <v>6.1365900131406041</v>
      </c>
    </row>
    <row r="45" spans="1:14" ht="13.5" thickBot="1" x14ac:dyDescent="0.25">
      <c r="M45" s="93">
        <v>1957</v>
      </c>
      <c r="N45" s="94">
        <v>5.703091288782816</v>
      </c>
    </row>
    <row r="46" spans="1:14" ht="13.5" thickBot="1" x14ac:dyDescent="0.25">
      <c r="M46" s="93">
        <v>1958</v>
      </c>
      <c r="N46" s="94">
        <v>6.1519962264150942</v>
      </c>
    </row>
    <row r="47" spans="1:14" ht="13.5" thickBot="1" x14ac:dyDescent="0.25">
      <c r="M47" s="93">
        <v>1959</v>
      </c>
      <c r="N47" s="94">
        <v>6.3393090563647876</v>
      </c>
    </row>
    <row r="48" spans="1:14" ht="13.5" thickBot="1" x14ac:dyDescent="0.25">
      <c r="M48" s="93">
        <v>1960</v>
      </c>
      <c r="N48" s="94">
        <v>5.9481219512195116</v>
      </c>
    </row>
    <row r="49" spans="13:14" ht="13.5" thickBot="1" x14ac:dyDescent="0.25">
      <c r="M49" s="93">
        <v>1961</v>
      </c>
      <c r="N49" s="94">
        <v>5.8977855936972423</v>
      </c>
    </row>
    <row r="50" spans="13:14" ht="13.5" thickBot="1" x14ac:dyDescent="0.25">
      <c r="M50" s="93">
        <v>1962</v>
      </c>
      <c r="N50" s="94">
        <v>5.9360271317829465</v>
      </c>
    </row>
    <row r="51" spans="13:14" ht="13.5" thickBot="1" x14ac:dyDescent="0.25">
      <c r="M51" s="93">
        <v>1963</v>
      </c>
      <c r="N51" s="94">
        <v>5.7131551275377408</v>
      </c>
    </row>
    <row r="52" spans="13:14" ht="13.5" thickBot="1" x14ac:dyDescent="0.25">
      <c r="M52" s="93">
        <v>1964</v>
      </c>
      <c r="N52" s="94">
        <v>5.2303106660456455</v>
      </c>
    </row>
    <row r="53" spans="13:14" ht="13.5" thickBot="1" x14ac:dyDescent="0.25">
      <c r="M53" s="93">
        <v>1965</v>
      </c>
      <c r="N53" s="94">
        <v>5.4203707547169815</v>
      </c>
    </row>
    <row r="54" spans="13:14" ht="13.5" thickBot="1" x14ac:dyDescent="0.25">
      <c r="M54" s="93">
        <v>1966</v>
      </c>
      <c r="N54" s="94">
        <v>5.0821512532411406</v>
      </c>
    </row>
    <row r="55" spans="13:14" ht="13.5" thickBot="1" x14ac:dyDescent="0.25">
      <c r="M55" s="93">
        <v>1967</v>
      </c>
      <c r="N55" s="94">
        <v>4.9912119452509334</v>
      </c>
    </row>
    <row r="56" spans="13:14" ht="13.5" thickBot="1" x14ac:dyDescent="0.25">
      <c r="M56" s="93">
        <v>1968</v>
      </c>
      <c r="N56" s="94">
        <v>5.0346398201144726</v>
      </c>
    </row>
    <row r="57" spans="13:14" ht="13.5" thickBot="1" x14ac:dyDescent="0.25">
      <c r="M57" s="93">
        <v>1969</v>
      </c>
      <c r="N57" s="94">
        <v>4.8111676212294769</v>
      </c>
    </row>
    <row r="58" spans="13:14" ht="13.5" thickBot="1" x14ac:dyDescent="0.25">
      <c r="M58" s="93">
        <v>1970</v>
      </c>
      <c r="N58" s="94">
        <v>4.4940292784942493</v>
      </c>
    </row>
    <row r="59" spans="13:14" ht="13.5" thickBot="1" x14ac:dyDescent="0.25">
      <c r="M59" s="93">
        <v>1971</v>
      </c>
      <c r="N59" s="94">
        <v>4.3701540245114279</v>
      </c>
    </row>
    <row r="60" spans="13:14" ht="13.5" thickBot="1" x14ac:dyDescent="0.25">
      <c r="M60" s="93">
        <v>1972</v>
      </c>
      <c r="N60" s="94">
        <v>4.1534200983405034</v>
      </c>
    </row>
    <row r="61" spans="13:14" ht="13.5" thickBot="1" x14ac:dyDescent="0.25">
      <c r="M61" s="93">
        <v>1973</v>
      </c>
      <c r="N61" s="94">
        <v>3.8244784411276949</v>
      </c>
    </row>
    <row r="62" spans="13:14" ht="13.5" thickBot="1" x14ac:dyDescent="0.25">
      <c r="M62" s="93">
        <v>1974</v>
      </c>
      <c r="N62" s="94">
        <v>3.0120986604295132</v>
      </c>
    </row>
    <row r="63" spans="13:14" ht="13.5" thickBot="1" x14ac:dyDescent="0.25">
      <c r="M63" s="93">
        <v>1975</v>
      </c>
      <c r="N63" s="94">
        <v>2.7867102229054574</v>
      </c>
    </row>
    <row r="64" spans="13:14" ht="13.5" thickBot="1" x14ac:dyDescent="0.25">
      <c r="M64" s="93">
        <v>1976</v>
      </c>
      <c r="N64" s="94">
        <v>2.6186951843358615</v>
      </c>
    </row>
    <row r="65" spans="13:14" ht="13.5" thickBot="1" x14ac:dyDescent="0.25">
      <c r="M65" s="93">
        <v>1977</v>
      </c>
      <c r="N65" s="94">
        <v>2.4371921103271328</v>
      </c>
    </row>
    <row r="66" spans="13:14" ht="13.5" thickBot="1" x14ac:dyDescent="0.25">
      <c r="M66" s="93">
        <v>1978</v>
      </c>
      <c r="N66" s="94">
        <v>2.3991488049344643</v>
      </c>
    </row>
    <row r="67" spans="13:14" ht="13.5" thickBot="1" x14ac:dyDescent="0.25">
      <c r="M67" s="93">
        <v>1979</v>
      </c>
      <c r="N67" s="94">
        <v>2.3844636921694864</v>
      </c>
    </row>
    <row r="68" spans="13:14" ht="13.5" thickBot="1" x14ac:dyDescent="0.25">
      <c r="M68" s="93">
        <v>1980</v>
      </c>
      <c r="N68" s="94">
        <v>2.3243104234992158</v>
      </c>
    </row>
    <row r="69" spans="13:14" ht="13.5" thickBot="1" x14ac:dyDescent="0.25">
      <c r="M69" s="93">
        <v>1981</v>
      </c>
      <c r="N69" s="94">
        <v>2.3787463282475403</v>
      </c>
    </row>
    <row r="70" spans="13:14" ht="13.5" thickBot="1" x14ac:dyDescent="0.25">
      <c r="M70" s="93">
        <v>1982</v>
      </c>
      <c r="N70" s="94">
        <v>2.4342093255382857</v>
      </c>
    </row>
    <row r="71" spans="13:14" ht="13.5" thickBot="1" x14ac:dyDescent="0.25">
      <c r="M71" s="93">
        <v>1983</v>
      </c>
      <c r="N71" s="94">
        <v>2.3723040880076054</v>
      </c>
    </row>
    <row r="72" spans="13:14" ht="13.5" thickBot="1" x14ac:dyDescent="0.25">
      <c r="M72" s="93">
        <v>1984</v>
      </c>
      <c r="N72" s="94">
        <v>2.2896403587443945</v>
      </c>
    </row>
    <row r="73" spans="13:14" ht="13.5" thickBot="1" x14ac:dyDescent="0.25">
      <c r="M73" s="93">
        <v>1985</v>
      </c>
      <c r="N73" s="94">
        <v>2.2316555216595488</v>
      </c>
    </row>
    <row r="74" spans="13:14" ht="13.5" thickBot="1" x14ac:dyDescent="0.25">
      <c r="M74" s="93">
        <v>1986</v>
      </c>
      <c r="N74" s="94">
        <v>2.2817557046979866</v>
      </c>
    </row>
    <row r="75" spans="13:14" ht="13.5" thickBot="1" x14ac:dyDescent="0.25">
      <c r="M75" s="93">
        <v>1987</v>
      </c>
      <c r="N75" s="94">
        <v>2.1945223707147012</v>
      </c>
    </row>
    <row r="76" spans="13:14" ht="13.5" thickBot="1" x14ac:dyDescent="0.25">
      <c r="M76" s="93">
        <v>1988</v>
      </c>
      <c r="N76" s="94">
        <v>2.1317785012691757</v>
      </c>
    </row>
    <row r="77" spans="13:14" ht="13.5" thickBot="1" x14ac:dyDescent="0.25">
      <c r="M77" s="93">
        <v>1989</v>
      </c>
      <c r="N77" s="94">
        <v>2.0427122026887279</v>
      </c>
    </row>
    <row r="78" spans="13:14" ht="13.5" thickBot="1" x14ac:dyDescent="0.25">
      <c r="M78" s="93">
        <v>1990</v>
      </c>
      <c r="N78" s="94">
        <v>1.9695593451568896</v>
      </c>
    </row>
    <row r="79" spans="13:14" ht="13.5" thickBot="1" x14ac:dyDescent="0.25">
      <c r="M79" s="93">
        <v>1991</v>
      </c>
      <c r="N79" s="94">
        <v>1.8734152772743748</v>
      </c>
    </row>
    <row r="80" spans="13:14" ht="13.5" thickBot="1" x14ac:dyDescent="0.25">
      <c r="M80" s="93">
        <v>1992</v>
      </c>
      <c r="N80" s="94">
        <v>1.8177260379953579</v>
      </c>
    </row>
    <row r="81" spans="13:14" ht="13.5" thickBot="1" x14ac:dyDescent="0.25">
      <c r="M81" s="93">
        <v>1993</v>
      </c>
      <c r="N81" s="94">
        <v>1.808884557470303</v>
      </c>
    </row>
    <row r="82" spans="13:14" ht="13.5" thickBot="1" x14ac:dyDescent="0.25">
      <c r="M82" s="93">
        <v>1994</v>
      </c>
      <c r="N82" s="94">
        <v>1.8383841676367867</v>
      </c>
    </row>
    <row r="83" spans="13:14" ht="13.5" thickBot="1" x14ac:dyDescent="0.25">
      <c r="M83" s="93">
        <v>1995</v>
      </c>
      <c r="N83" s="94">
        <v>1.8220423250564333</v>
      </c>
    </row>
    <row r="84" spans="13:14" ht="13.5" thickBot="1" x14ac:dyDescent="0.25">
      <c r="M84" s="93">
        <v>1996</v>
      </c>
      <c r="N84" s="94">
        <v>1.858408769106999</v>
      </c>
    </row>
    <row r="85" spans="13:14" ht="13.5" thickBot="1" x14ac:dyDescent="0.25">
      <c r="M85" s="93">
        <v>1997</v>
      </c>
      <c r="N85" s="94">
        <v>1.9234158455499479</v>
      </c>
    </row>
    <row r="86" spans="13:14" ht="13.5" thickBot="1" x14ac:dyDescent="0.25">
      <c r="M86" s="93">
        <v>1998</v>
      </c>
      <c r="N86" s="94">
        <v>1.8874302334722115</v>
      </c>
    </row>
    <row r="87" spans="13:14" ht="13.5" thickBot="1" x14ac:dyDescent="0.25">
      <c r="M87" s="93">
        <v>1999</v>
      </c>
      <c r="N87" s="94">
        <v>1.8718328525765962</v>
      </c>
    </row>
    <row r="88" spans="13:14" ht="13.5" thickBot="1" x14ac:dyDescent="0.25">
      <c r="M88" s="93">
        <v>2000</v>
      </c>
      <c r="N88" s="94">
        <v>1.7728715941814961</v>
      </c>
    </row>
    <row r="89" spans="13:14" ht="13.5" thickBot="1" x14ac:dyDescent="0.25">
      <c r="M89" s="93">
        <v>2001</v>
      </c>
      <c r="N89" s="94">
        <v>1.6776131917272219</v>
      </c>
    </row>
    <row r="90" spans="13:14" ht="13.5" thickBot="1" x14ac:dyDescent="0.25">
      <c r="M90" s="93">
        <v>2002</v>
      </c>
      <c r="N90" s="94">
        <v>1.6560904952407229</v>
      </c>
    </row>
    <row r="91" spans="13:14" ht="13.5" thickBot="1" x14ac:dyDescent="0.25">
      <c r="M91" s="93">
        <v>2003</v>
      </c>
      <c r="N91" s="94">
        <v>1.6175975207168363</v>
      </c>
    </row>
    <row r="92" spans="13:14" ht="13.5" thickBot="1" x14ac:dyDescent="0.25">
      <c r="M92" s="93">
        <v>2004</v>
      </c>
      <c r="N92" s="94">
        <v>1.535264403094827</v>
      </c>
    </row>
    <row r="93" spans="13:14" ht="13.5" thickBot="1" x14ac:dyDescent="0.25">
      <c r="M93" s="93">
        <v>2005</v>
      </c>
      <c r="N93" s="94">
        <v>1.4800887683392923</v>
      </c>
    </row>
    <row r="94" spans="13:14" ht="13.5" thickBot="1" x14ac:dyDescent="0.25">
      <c r="M94" s="93">
        <v>2006</v>
      </c>
      <c r="N94" s="94">
        <v>1.397861614542665</v>
      </c>
    </row>
    <row r="95" spans="13:14" ht="13.5" thickBot="1" x14ac:dyDescent="0.25">
      <c r="M95" s="93">
        <v>2007</v>
      </c>
      <c r="N95" s="94">
        <v>1.3621922160444797</v>
      </c>
    </row>
    <row r="96" spans="13:14" ht="13.5" thickBot="1" x14ac:dyDescent="0.25">
      <c r="M96" s="93">
        <v>2008</v>
      </c>
      <c r="N96" s="94">
        <v>1.30340372401064</v>
      </c>
    </row>
    <row r="97" spans="13:14" ht="13.5" thickBot="1" x14ac:dyDescent="0.25">
      <c r="M97" s="93">
        <v>2009</v>
      </c>
      <c r="N97" s="94">
        <v>1.3520666741750198</v>
      </c>
    </row>
    <row r="98" spans="13:14" ht="13.5" thickBot="1" x14ac:dyDescent="0.25">
      <c r="M98" s="93">
        <v>2010</v>
      </c>
      <c r="N98" s="94">
        <v>1.3128827646544181</v>
      </c>
    </row>
    <row r="99" spans="13:14" ht="13.5" thickBot="1" x14ac:dyDescent="0.25">
      <c r="M99" s="93">
        <v>2011</v>
      </c>
      <c r="N99" s="94">
        <v>1.284987958255285</v>
      </c>
    </row>
    <row r="100" spans="13:14" ht="13.5" thickBot="1" x14ac:dyDescent="0.25">
      <c r="M100" s="93">
        <v>2012</v>
      </c>
      <c r="N100" s="94">
        <v>1.2426893017959733</v>
      </c>
    </row>
    <row r="101" spans="13:14" ht="13.5" thickBot="1" x14ac:dyDescent="0.25">
      <c r="M101" s="93">
        <v>2013</v>
      </c>
      <c r="N101" s="94">
        <v>1.2258756254467478</v>
      </c>
    </row>
    <row r="102" spans="13:14" ht="13.5" thickBot="1" x14ac:dyDescent="0.25">
      <c r="M102" s="93">
        <v>2014</v>
      </c>
      <c r="N102" s="94">
        <v>1.2160040516586477</v>
      </c>
    </row>
    <row r="103" spans="13:14" ht="13.5" thickBot="1" x14ac:dyDescent="0.25">
      <c r="M103" s="93">
        <v>2015</v>
      </c>
      <c r="N103" s="94">
        <v>1.2176691348006898</v>
      </c>
    </row>
    <row r="104" spans="13:14" ht="13.5" thickBot="1" x14ac:dyDescent="0.25">
      <c r="M104" s="93">
        <v>2016</v>
      </c>
      <c r="N104" s="94">
        <v>1.2015212930991344</v>
      </c>
    </row>
    <row r="105" spans="13:14" ht="13.5" thickBot="1" x14ac:dyDescent="0.25">
      <c r="M105" s="93">
        <v>2017</v>
      </c>
      <c r="N105" s="94">
        <v>1.1689955694045475</v>
      </c>
    </row>
    <row r="106" spans="13:14" ht="13.5" thickBot="1" x14ac:dyDescent="0.25">
      <c r="M106" s="93">
        <v>2018</v>
      </c>
      <c r="N106" s="94">
        <v>1.1198694029850746</v>
      </c>
    </row>
    <row r="107" spans="13:14" ht="13.5" thickBot="1" x14ac:dyDescent="0.25">
      <c r="M107" s="93">
        <v>2019</v>
      </c>
      <c r="N107" s="94">
        <v>1.0876064504439209</v>
      </c>
    </row>
    <row r="108" spans="13:14" ht="13.5" thickBot="1" x14ac:dyDescent="0.25">
      <c r="M108" s="93">
        <v>2020</v>
      </c>
      <c r="N108" s="94">
        <v>1.0559415955668925</v>
      </c>
    </row>
    <row r="109" spans="13:14" ht="13.5" thickBot="1" x14ac:dyDescent="0.25">
      <c r="M109" s="95">
        <v>2021</v>
      </c>
      <c r="N109" s="94">
        <v>1</v>
      </c>
    </row>
    <row r="110" spans="13:14" ht="13.5" thickBot="1" x14ac:dyDescent="0.25">
      <c r="M110" s="95">
        <v>2022</v>
      </c>
      <c r="N110" s="94">
        <v>1</v>
      </c>
    </row>
    <row r="111" spans="13:14" ht="13.5" thickBot="1" x14ac:dyDescent="0.25">
      <c r="M111" s="95">
        <v>2023</v>
      </c>
      <c r="N111" s="94">
        <v>1</v>
      </c>
    </row>
  </sheetData>
  <mergeCells count="8">
    <mergeCell ref="E26:F26"/>
    <mergeCell ref="E2:J2"/>
    <mergeCell ref="E17:K17"/>
    <mergeCell ref="A1:B1"/>
    <mergeCell ref="A14:B14"/>
    <mergeCell ref="E24:G24"/>
    <mergeCell ref="E8:I8"/>
    <mergeCell ref="A26:B26"/>
  </mergeCells>
  <dataValidations count="1">
    <dataValidation type="list" allowBlank="1" showInputMessage="1" showErrorMessage="1" sqref="B21" xr:uid="{00000000-0002-0000-0000-000000000000}">
      <formula1>$E$27:$E$36</formula1>
    </dataValidation>
  </dataValidations>
  <pageMargins left="0.7" right="0.7" top="0.75" bottom="0.75" header="0.3" footer="0.3"/>
  <pageSetup paperSize="9" orientation="portrait" r:id="rId1"/>
  <ignoredErrors>
    <ignoredError sqref="B4 B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3"/>
  <sheetViews>
    <sheetView topLeftCell="A5" zoomScaleNormal="100" workbookViewId="0">
      <selection activeCell="A19" sqref="A19"/>
    </sheetView>
  </sheetViews>
  <sheetFormatPr defaultRowHeight="12.75" x14ac:dyDescent="0.2"/>
  <cols>
    <col min="1" max="1" width="44.28515625" bestFit="1" customWidth="1"/>
    <col min="2" max="2" width="255.7109375" bestFit="1" customWidth="1"/>
  </cols>
  <sheetData>
    <row r="1" spans="1:2" ht="13.5" thickBot="1" x14ac:dyDescent="0.25">
      <c r="A1" s="14" t="s">
        <v>84</v>
      </c>
      <c r="B1" s="14"/>
    </row>
    <row r="2" spans="1:2" x14ac:dyDescent="0.2">
      <c r="A2" s="12" t="s">
        <v>14</v>
      </c>
      <c r="B2" s="12" t="s">
        <v>82</v>
      </c>
    </row>
    <row r="3" spans="1:2" x14ac:dyDescent="0.2">
      <c r="A3" s="11" t="s">
        <v>44</v>
      </c>
      <c r="B3" s="6" t="s">
        <v>54</v>
      </c>
    </row>
    <row r="4" spans="1:2" ht="114.75" x14ac:dyDescent="0.2">
      <c r="A4" s="11" t="s">
        <v>13</v>
      </c>
      <c r="B4" s="15" t="s">
        <v>86</v>
      </c>
    </row>
    <row r="5" spans="1:2" x14ac:dyDescent="0.2">
      <c r="A5" s="11" t="s">
        <v>11</v>
      </c>
      <c r="B5" s="11" t="s">
        <v>18</v>
      </c>
    </row>
    <row r="6" spans="1:2" x14ac:dyDescent="0.2">
      <c r="A6" s="11" t="s">
        <v>12</v>
      </c>
      <c r="B6" s="11" t="s">
        <v>81</v>
      </c>
    </row>
    <row r="7" spans="1:2" x14ac:dyDescent="0.2">
      <c r="A7" s="11" t="s">
        <v>3</v>
      </c>
      <c r="B7" s="11" t="s">
        <v>24</v>
      </c>
    </row>
    <row r="8" spans="1:2" x14ac:dyDescent="0.2">
      <c r="A8" s="11" t="s">
        <v>25</v>
      </c>
      <c r="B8" s="11" t="s">
        <v>23</v>
      </c>
    </row>
    <row r="9" spans="1:2" x14ac:dyDescent="0.2">
      <c r="A9" s="11" t="s">
        <v>15</v>
      </c>
      <c r="B9" s="11" t="s">
        <v>32</v>
      </c>
    </row>
    <row r="10" spans="1:2" x14ac:dyDescent="0.2">
      <c r="A10" s="11" t="s">
        <v>0</v>
      </c>
      <c r="B10" s="11" t="s">
        <v>17</v>
      </c>
    </row>
    <row r="11" spans="1:2" x14ac:dyDescent="0.2">
      <c r="A11" s="11" t="s">
        <v>19</v>
      </c>
      <c r="B11" s="11" t="s">
        <v>26</v>
      </c>
    </row>
    <row r="12" spans="1:2" x14ac:dyDescent="0.2">
      <c r="A12" s="11" t="s">
        <v>16</v>
      </c>
      <c r="B12" s="11" t="s">
        <v>28</v>
      </c>
    </row>
    <row r="13" spans="1:2" ht="13.5" thickBot="1" x14ac:dyDescent="0.25">
      <c r="A13" s="13" t="s">
        <v>22</v>
      </c>
      <c r="B13" s="13" t="s">
        <v>29</v>
      </c>
    </row>
    <row r="14" spans="1:2" ht="13.5" thickBot="1" x14ac:dyDescent="0.25">
      <c r="A14" s="1"/>
    </row>
    <row r="15" spans="1:2" ht="13.5" thickBot="1" x14ac:dyDescent="0.25">
      <c r="A15" s="14" t="s">
        <v>85</v>
      </c>
      <c r="B15" s="14"/>
    </row>
    <row r="16" spans="1:2" x14ac:dyDescent="0.2">
      <c r="A16" s="11" t="s">
        <v>87</v>
      </c>
      <c r="B16" s="5" t="s">
        <v>100</v>
      </c>
    </row>
    <row r="17" spans="1:2" x14ac:dyDescent="0.2">
      <c r="A17" s="11" t="s">
        <v>33</v>
      </c>
      <c r="B17" s="6" t="s">
        <v>53</v>
      </c>
    </row>
    <row r="18" spans="1:2" x14ac:dyDescent="0.2">
      <c r="A18" s="11" t="s">
        <v>50</v>
      </c>
      <c r="B18" s="6" t="s">
        <v>51</v>
      </c>
    </row>
    <row r="19" spans="1:2" x14ac:dyDescent="0.2">
      <c r="A19" s="11" t="s">
        <v>34</v>
      </c>
      <c r="B19" s="6" t="s">
        <v>52</v>
      </c>
    </row>
    <row r="20" spans="1:2" x14ac:dyDescent="0.2">
      <c r="A20" s="11" t="s">
        <v>44</v>
      </c>
      <c r="B20" s="6" t="s">
        <v>54</v>
      </c>
    </row>
    <row r="21" spans="1:2" x14ac:dyDescent="0.2">
      <c r="A21" s="11" t="s">
        <v>45</v>
      </c>
      <c r="B21" s="6" t="s">
        <v>55</v>
      </c>
    </row>
    <row r="22" spans="1:2" x14ac:dyDescent="0.2">
      <c r="A22" s="114" t="s">
        <v>99</v>
      </c>
      <c r="B22" s="7" t="s">
        <v>56</v>
      </c>
    </row>
    <row r="23" spans="1:2" x14ac:dyDescent="0.2">
      <c r="A23" s="115"/>
      <c r="B23" s="8" t="s">
        <v>57</v>
      </c>
    </row>
    <row r="24" spans="1:2" x14ac:dyDescent="0.2">
      <c r="A24" s="115"/>
      <c r="B24" s="8" t="s">
        <v>58</v>
      </c>
    </row>
    <row r="25" spans="1:2" x14ac:dyDescent="0.2">
      <c r="A25" s="115"/>
      <c r="B25" s="8" t="s">
        <v>59</v>
      </c>
    </row>
    <row r="26" spans="1:2" x14ac:dyDescent="0.2">
      <c r="A26" s="116"/>
      <c r="B26" s="9" t="s">
        <v>60</v>
      </c>
    </row>
    <row r="27" spans="1:2" ht="114.75" x14ac:dyDescent="0.2">
      <c r="A27" s="11" t="s">
        <v>36</v>
      </c>
      <c r="B27" s="6" t="s">
        <v>83</v>
      </c>
    </row>
    <row r="28" spans="1:2" ht="13.5" thickBot="1" x14ac:dyDescent="0.25">
      <c r="A28" s="13" t="s">
        <v>48</v>
      </c>
      <c r="B28" s="10" t="s">
        <v>61</v>
      </c>
    </row>
    <row r="29" spans="1:2" ht="13.5" thickBot="1" x14ac:dyDescent="0.25"/>
    <row r="30" spans="1:2" ht="13.5" thickBot="1" x14ac:dyDescent="0.25">
      <c r="A30" s="80" t="s">
        <v>101</v>
      </c>
      <c r="B30" s="81"/>
    </row>
    <row r="31" spans="1:2" x14ac:dyDescent="0.2">
      <c r="A31" s="11" t="s">
        <v>62</v>
      </c>
      <c r="B31" s="82" t="s">
        <v>105</v>
      </c>
    </row>
    <row r="32" spans="1:2" x14ac:dyDescent="0.2">
      <c r="A32" s="11" t="s">
        <v>63</v>
      </c>
      <c r="B32" s="82" t="s">
        <v>106</v>
      </c>
    </row>
    <row r="33" spans="1:2" ht="13.5" thickBot="1" x14ac:dyDescent="0.25">
      <c r="A33" s="13" t="s">
        <v>102</v>
      </c>
      <c r="B33" s="83" t="s">
        <v>107</v>
      </c>
    </row>
  </sheetData>
  <mergeCells count="1">
    <mergeCell ref="A22:A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F4BDBC08F7354FB42D8CB7B9EF9E65" ma:contentTypeVersion="8" ma:contentTypeDescription="Een nieuw document maken." ma:contentTypeScope="" ma:versionID="0ee91f65b5661ebbbbda5bdda2cb0f02">
  <xsd:schema xmlns:xsd="http://www.w3.org/2001/XMLSchema" xmlns:xs="http://www.w3.org/2001/XMLSchema" xmlns:p="http://schemas.microsoft.com/office/2006/metadata/properties" xmlns:ns2="9ea25605-44a0-48d4-9bf4-eef201ddc677" xmlns:ns3="825701b4-d556-42ed-9474-979b155a2c4f" targetNamespace="http://schemas.microsoft.com/office/2006/metadata/properties" ma:root="true" ma:fieldsID="5beaac770722771bf6e3c08f0c495f00" ns2:_="" ns3:_="">
    <xsd:import namespace="9ea25605-44a0-48d4-9bf4-eef201ddc677"/>
    <xsd:import namespace="825701b4-d556-42ed-9474-979b155a2c4f"/>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a25605-44a0-48d4-9bf4-eef201ddc6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5701b4-d556-42ed-9474-979b155a2c4f"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F488DA-8F50-4D4C-9038-AF34C1EDE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a25605-44a0-48d4-9bf4-eef201ddc677"/>
    <ds:schemaRef ds:uri="825701b4-d556-42ed-9474-979b155a2c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1CA9E7-DE4C-457F-995F-7B453F4F60D7}">
  <ds:schemaRefs>
    <ds:schemaRef ds:uri="http://schemas.microsoft.com/sharepoint/v3/contenttype/forms"/>
  </ds:schemaRefs>
</ds:datastoreItem>
</file>

<file path=customXml/itemProps3.xml><?xml version="1.0" encoding="utf-8"?>
<ds:datastoreItem xmlns:ds="http://schemas.openxmlformats.org/officeDocument/2006/customXml" ds:itemID="{9A603835-6A78-45F1-80FD-598F28E01CEB}">
  <ds:schemaRefs>
    <ds:schemaRef ds:uri="http://purl.org/dc/terms/"/>
    <ds:schemaRef ds:uri="http://schemas.openxmlformats.org/package/2006/metadata/core-properties"/>
    <ds:schemaRef ds:uri="http://purl.org/dc/dcmitype/"/>
    <ds:schemaRef ds:uri="825701b4-d556-42ed-9474-979b155a2c4f"/>
    <ds:schemaRef ds:uri="http://schemas.microsoft.com/office/2006/documentManagement/types"/>
    <ds:schemaRef ds:uri="http://purl.org/dc/elements/1.1/"/>
    <ds:schemaRef ds:uri="http://schemas.microsoft.com/office/2006/metadata/properties"/>
    <ds:schemaRef ds:uri="9ea25605-44a0-48d4-9bf4-eef201ddc677"/>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berekening huurprijs</vt:lpstr>
      <vt:lpstr>verklarende woordenlijst</vt:lpstr>
    </vt:vector>
  </TitlesOfParts>
  <Company>Vlaamse Huisvestingsmaatschappij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Vlaamse Maatschappij voor Sociaal Wonen</dc:creator>
  <cp:lastModifiedBy>Van Hoefs, Elke</cp:lastModifiedBy>
  <cp:lastPrinted>2009-05-28T11:12:46Z</cp:lastPrinted>
  <dcterms:created xsi:type="dcterms:W3CDTF">2007-06-12T12:40:01Z</dcterms:created>
  <dcterms:modified xsi:type="dcterms:W3CDTF">2023-06-08T11:22:41Z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0x01010035F4BDBC08F7354FB42D8CB7B9EF9E65</vt:lpwstr>
  </property>
</Properties>
</file>