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dveldhc\Desktop\1_Kopieerplek\"/>
    </mc:Choice>
  </mc:AlternateContent>
  <xr:revisionPtr revIDLastSave="0" documentId="8_{F19F7523-F015-4441-BFD8-33791F94CCBF}" xr6:coauthVersionLast="47" xr6:coauthVersionMax="47" xr10:uidLastSave="{00000000-0000-0000-0000-000000000000}"/>
  <bookViews>
    <workbookView xWindow="-120" yWindow="-120" windowWidth="29040" windowHeight="15840" tabRatio="721" xr2:uid="{00000000-000D-0000-FFFF-FFFF00000000}"/>
  </bookViews>
  <sheets>
    <sheet name="simulatie met flex" sheetId="15" r:id="rId1"/>
    <sheet name="NMBS_halftijds" sheetId="12" state="hidden" r:id="rId2"/>
    <sheet name="NMBS kaarten" sheetId="19" state="hidden" r:id="rId3"/>
    <sheet name="NMBS_abonnementen" sheetId="3" state="hidden" r:id="rId4"/>
    <sheet name="NMBS_flexabo" sheetId="14" state="hidden" r:id="rId5"/>
    <sheet name="berekening flexabo" sheetId="16" state="hidden" r:id="rId6"/>
    <sheet name="NMBS_ticketten" sheetId="4" state="hidden" r:id="rId7"/>
    <sheet name="MIVB_abonnementen" sheetId="10" state="hidden" r:id="rId8"/>
    <sheet name="De_Lijn_abonnementen" sheetId="9" state="hidden" r:id="rId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3" i="3" l="1"/>
  <c r="K153" i="3"/>
  <c r="L153" i="3"/>
  <c r="N153" i="3"/>
  <c r="O153" i="3"/>
  <c r="P153" i="3"/>
  <c r="R153" i="3"/>
  <c r="S153" i="3"/>
  <c r="T153" i="3"/>
  <c r="J154" i="3"/>
  <c r="K154" i="3"/>
  <c r="L154" i="3"/>
  <c r="N154" i="3"/>
  <c r="O154" i="3"/>
  <c r="P154" i="3"/>
  <c r="R154" i="3"/>
  <c r="S154" i="3"/>
  <c r="T154" i="3"/>
  <c r="J155" i="3"/>
  <c r="K155" i="3"/>
  <c r="L155" i="3"/>
  <c r="N155" i="3"/>
  <c r="O155" i="3"/>
  <c r="P155" i="3"/>
  <c r="R155" i="3"/>
  <c r="S155" i="3"/>
  <c r="T155" i="3"/>
  <c r="J156" i="3"/>
  <c r="K156" i="3"/>
  <c r="L156" i="3"/>
  <c r="N156" i="3"/>
  <c r="O156" i="3"/>
  <c r="P156" i="3"/>
  <c r="R156" i="3"/>
  <c r="S156" i="3"/>
  <c r="T156" i="3"/>
  <c r="J148" i="3"/>
  <c r="K148" i="3"/>
  <c r="L148" i="3"/>
  <c r="N148" i="3"/>
  <c r="O148" i="3"/>
  <c r="P148" i="3"/>
  <c r="R148" i="3"/>
  <c r="S148" i="3"/>
  <c r="T148" i="3"/>
  <c r="J149" i="3"/>
  <c r="K149" i="3"/>
  <c r="L149" i="3"/>
  <c r="N149" i="3"/>
  <c r="O149" i="3"/>
  <c r="P149" i="3"/>
  <c r="R149" i="3"/>
  <c r="S149" i="3"/>
  <c r="T149" i="3"/>
  <c r="J150" i="3"/>
  <c r="K150" i="3"/>
  <c r="L150" i="3"/>
  <c r="N150" i="3"/>
  <c r="O150" i="3"/>
  <c r="P150" i="3"/>
  <c r="R150" i="3"/>
  <c r="S150" i="3"/>
  <c r="T150" i="3"/>
  <c r="J151" i="3"/>
  <c r="K151" i="3"/>
  <c r="L151" i="3"/>
  <c r="N151" i="3"/>
  <c r="O151" i="3"/>
  <c r="P151" i="3"/>
  <c r="R151" i="3"/>
  <c r="S151" i="3"/>
  <c r="T151" i="3"/>
  <c r="J143" i="3"/>
  <c r="K143" i="3"/>
  <c r="L143" i="3"/>
  <c r="N143" i="3"/>
  <c r="O143" i="3"/>
  <c r="P143" i="3"/>
  <c r="R143" i="3"/>
  <c r="S143" i="3"/>
  <c r="T143" i="3"/>
  <c r="J144" i="3"/>
  <c r="K144" i="3"/>
  <c r="L144" i="3"/>
  <c r="N144" i="3"/>
  <c r="O144" i="3"/>
  <c r="P144" i="3"/>
  <c r="R144" i="3"/>
  <c r="S144" i="3"/>
  <c r="T144" i="3"/>
  <c r="J145" i="3"/>
  <c r="K145" i="3"/>
  <c r="L145" i="3"/>
  <c r="N145" i="3"/>
  <c r="O145" i="3"/>
  <c r="P145" i="3"/>
  <c r="R145" i="3"/>
  <c r="S145" i="3"/>
  <c r="T145" i="3"/>
  <c r="J146" i="3"/>
  <c r="K146" i="3"/>
  <c r="L146" i="3"/>
  <c r="N146" i="3"/>
  <c r="O146" i="3"/>
  <c r="P146" i="3"/>
  <c r="R146" i="3"/>
  <c r="S146" i="3"/>
  <c r="T146" i="3"/>
  <c r="J138" i="3"/>
  <c r="K138" i="3"/>
  <c r="L138" i="3"/>
  <c r="N138" i="3"/>
  <c r="O138" i="3"/>
  <c r="P138" i="3"/>
  <c r="R138" i="3"/>
  <c r="S138" i="3"/>
  <c r="T138" i="3"/>
  <c r="J139" i="3"/>
  <c r="K139" i="3"/>
  <c r="L139" i="3"/>
  <c r="N139" i="3"/>
  <c r="O139" i="3"/>
  <c r="P139" i="3"/>
  <c r="R139" i="3"/>
  <c r="S139" i="3"/>
  <c r="T139" i="3"/>
  <c r="J140" i="3"/>
  <c r="K140" i="3"/>
  <c r="L140" i="3"/>
  <c r="N140" i="3"/>
  <c r="O140" i="3"/>
  <c r="P140" i="3"/>
  <c r="R140" i="3"/>
  <c r="S140" i="3"/>
  <c r="T140" i="3"/>
  <c r="J141" i="3"/>
  <c r="K141" i="3"/>
  <c r="L141" i="3"/>
  <c r="N141" i="3"/>
  <c r="O141" i="3"/>
  <c r="P141" i="3"/>
  <c r="R141" i="3"/>
  <c r="S141" i="3"/>
  <c r="T141" i="3"/>
  <c r="J133" i="3"/>
  <c r="K133" i="3"/>
  <c r="L133" i="3"/>
  <c r="N133" i="3"/>
  <c r="O133" i="3"/>
  <c r="P133" i="3"/>
  <c r="R133" i="3"/>
  <c r="S133" i="3"/>
  <c r="T133" i="3"/>
  <c r="J134" i="3"/>
  <c r="K134" i="3"/>
  <c r="L134" i="3"/>
  <c r="N134" i="3"/>
  <c r="O134" i="3"/>
  <c r="P134" i="3"/>
  <c r="R134" i="3"/>
  <c r="S134" i="3"/>
  <c r="T134" i="3"/>
  <c r="J135" i="3"/>
  <c r="K135" i="3"/>
  <c r="L135" i="3"/>
  <c r="N135" i="3"/>
  <c r="O135" i="3"/>
  <c r="P135" i="3"/>
  <c r="R135" i="3"/>
  <c r="S135" i="3"/>
  <c r="T135" i="3"/>
  <c r="J136" i="3"/>
  <c r="K136" i="3"/>
  <c r="L136" i="3"/>
  <c r="N136" i="3"/>
  <c r="O136" i="3"/>
  <c r="P136" i="3"/>
  <c r="R136" i="3"/>
  <c r="S136" i="3"/>
  <c r="T136" i="3"/>
  <c r="J128" i="3"/>
  <c r="K128" i="3"/>
  <c r="L128" i="3"/>
  <c r="N128" i="3"/>
  <c r="O128" i="3"/>
  <c r="P128" i="3"/>
  <c r="R128" i="3"/>
  <c r="S128" i="3"/>
  <c r="T128" i="3"/>
  <c r="J129" i="3"/>
  <c r="K129" i="3"/>
  <c r="L129" i="3"/>
  <c r="N129" i="3"/>
  <c r="O129" i="3"/>
  <c r="P129" i="3"/>
  <c r="R129" i="3"/>
  <c r="S129" i="3"/>
  <c r="T129" i="3"/>
  <c r="J130" i="3"/>
  <c r="K130" i="3"/>
  <c r="L130" i="3"/>
  <c r="N130" i="3"/>
  <c r="O130" i="3"/>
  <c r="P130" i="3"/>
  <c r="R130" i="3"/>
  <c r="S130" i="3"/>
  <c r="T130" i="3"/>
  <c r="J131" i="3"/>
  <c r="K131" i="3"/>
  <c r="L131" i="3"/>
  <c r="N131" i="3"/>
  <c r="O131" i="3"/>
  <c r="P131" i="3"/>
  <c r="R131" i="3"/>
  <c r="S131" i="3"/>
  <c r="T131" i="3"/>
  <c r="J123" i="3"/>
  <c r="K123" i="3"/>
  <c r="L123" i="3"/>
  <c r="N123" i="3"/>
  <c r="O123" i="3"/>
  <c r="P123" i="3"/>
  <c r="R123" i="3"/>
  <c r="S123" i="3"/>
  <c r="T123" i="3"/>
  <c r="J124" i="3"/>
  <c r="K124" i="3"/>
  <c r="L124" i="3"/>
  <c r="N124" i="3"/>
  <c r="O124" i="3"/>
  <c r="P124" i="3"/>
  <c r="R124" i="3"/>
  <c r="S124" i="3"/>
  <c r="T124" i="3"/>
  <c r="J125" i="3"/>
  <c r="K125" i="3"/>
  <c r="L125" i="3"/>
  <c r="N125" i="3"/>
  <c r="O125" i="3"/>
  <c r="P125" i="3"/>
  <c r="R125" i="3"/>
  <c r="S125" i="3"/>
  <c r="T125" i="3"/>
  <c r="J126" i="3"/>
  <c r="K126" i="3"/>
  <c r="L126" i="3"/>
  <c r="N126" i="3"/>
  <c r="O126" i="3"/>
  <c r="P126" i="3"/>
  <c r="R126" i="3"/>
  <c r="S126" i="3"/>
  <c r="T126" i="3"/>
  <c r="J118" i="3"/>
  <c r="K118" i="3"/>
  <c r="L118" i="3"/>
  <c r="N118" i="3"/>
  <c r="O118" i="3"/>
  <c r="P118" i="3"/>
  <c r="R118" i="3"/>
  <c r="S118" i="3"/>
  <c r="T118" i="3"/>
  <c r="J119" i="3"/>
  <c r="K119" i="3"/>
  <c r="L119" i="3"/>
  <c r="N119" i="3"/>
  <c r="O119" i="3"/>
  <c r="P119" i="3"/>
  <c r="R119" i="3"/>
  <c r="S119" i="3"/>
  <c r="T119" i="3"/>
  <c r="J120" i="3"/>
  <c r="K120" i="3"/>
  <c r="L120" i="3"/>
  <c r="N120" i="3"/>
  <c r="O120" i="3"/>
  <c r="P120" i="3"/>
  <c r="R120" i="3"/>
  <c r="S120" i="3"/>
  <c r="T120" i="3"/>
  <c r="J121" i="3"/>
  <c r="K121" i="3"/>
  <c r="L121" i="3"/>
  <c r="N121" i="3"/>
  <c r="O121" i="3"/>
  <c r="P121" i="3"/>
  <c r="R121" i="3"/>
  <c r="S121" i="3"/>
  <c r="T121" i="3"/>
  <c r="J113" i="3"/>
  <c r="K113" i="3"/>
  <c r="L113" i="3"/>
  <c r="N113" i="3"/>
  <c r="O113" i="3"/>
  <c r="P113" i="3"/>
  <c r="R113" i="3"/>
  <c r="S113" i="3"/>
  <c r="T113" i="3"/>
  <c r="J114" i="3"/>
  <c r="K114" i="3"/>
  <c r="L114" i="3"/>
  <c r="N114" i="3"/>
  <c r="O114" i="3"/>
  <c r="P114" i="3"/>
  <c r="R114" i="3"/>
  <c r="S114" i="3"/>
  <c r="T114" i="3"/>
  <c r="J115" i="3"/>
  <c r="K115" i="3"/>
  <c r="L115" i="3"/>
  <c r="N115" i="3"/>
  <c r="O115" i="3"/>
  <c r="P115" i="3"/>
  <c r="R115" i="3"/>
  <c r="S115" i="3"/>
  <c r="T115" i="3"/>
  <c r="J116" i="3"/>
  <c r="K116" i="3"/>
  <c r="L116" i="3"/>
  <c r="N116" i="3"/>
  <c r="O116" i="3"/>
  <c r="P116" i="3"/>
  <c r="R116" i="3"/>
  <c r="S116" i="3"/>
  <c r="T116" i="3"/>
  <c r="J108" i="3"/>
  <c r="K108" i="3"/>
  <c r="L108" i="3"/>
  <c r="N108" i="3"/>
  <c r="O108" i="3"/>
  <c r="P108" i="3"/>
  <c r="R108" i="3"/>
  <c r="S108" i="3"/>
  <c r="T108" i="3"/>
  <c r="J109" i="3"/>
  <c r="K109" i="3"/>
  <c r="L109" i="3"/>
  <c r="N109" i="3"/>
  <c r="O109" i="3"/>
  <c r="P109" i="3"/>
  <c r="R109" i="3"/>
  <c r="S109" i="3"/>
  <c r="T109" i="3"/>
  <c r="J110" i="3"/>
  <c r="K110" i="3"/>
  <c r="L110" i="3"/>
  <c r="N110" i="3"/>
  <c r="O110" i="3"/>
  <c r="P110" i="3"/>
  <c r="R110" i="3"/>
  <c r="S110" i="3"/>
  <c r="T110" i="3"/>
  <c r="J111" i="3"/>
  <c r="K111" i="3"/>
  <c r="L111" i="3"/>
  <c r="N111" i="3"/>
  <c r="O111" i="3"/>
  <c r="P111" i="3"/>
  <c r="R111" i="3"/>
  <c r="S111" i="3"/>
  <c r="T111" i="3"/>
  <c r="J103" i="3"/>
  <c r="K103" i="3"/>
  <c r="L103" i="3"/>
  <c r="N103" i="3"/>
  <c r="O103" i="3"/>
  <c r="P103" i="3"/>
  <c r="R103" i="3"/>
  <c r="S103" i="3"/>
  <c r="T103" i="3"/>
  <c r="J104" i="3"/>
  <c r="K104" i="3"/>
  <c r="L104" i="3"/>
  <c r="N104" i="3"/>
  <c r="O104" i="3"/>
  <c r="P104" i="3"/>
  <c r="R104" i="3"/>
  <c r="S104" i="3"/>
  <c r="T104" i="3"/>
  <c r="J105" i="3"/>
  <c r="K105" i="3"/>
  <c r="L105" i="3"/>
  <c r="N105" i="3"/>
  <c r="O105" i="3"/>
  <c r="P105" i="3"/>
  <c r="R105" i="3"/>
  <c r="S105" i="3"/>
  <c r="T105" i="3"/>
  <c r="J106" i="3"/>
  <c r="K106" i="3"/>
  <c r="L106" i="3"/>
  <c r="N106" i="3"/>
  <c r="O106" i="3"/>
  <c r="P106" i="3"/>
  <c r="R106" i="3"/>
  <c r="S106" i="3"/>
  <c r="T106" i="3"/>
  <c r="J98" i="3"/>
  <c r="K98" i="3"/>
  <c r="L98" i="3"/>
  <c r="N98" i="3"/>
  <c r="O98" i="3"/>
  <c r="P98" i="3"/>
  <c r="R98" i="3"/>
  <c r="S98" i="3"/>
  <c r="T98" i="3"/>
  <c r="J99" i="3"/>
  <c r="K99" i="3"/>
  <c r="L99" i="3"/>
  <c r="N99" i="3"/>
  <c r="O99" i="3"/>
  <c r="P99" i="3"/>
  <c r="R99" i="3"/>
  <c r="S99" i="3"/>
  <c r="T99" i="3"/>
  <c r="J100" i="3"/>
  <c r="K100" i="3"/>
  <c r="L100" i="3"/>
  <c r="N100" i="3"/>
  <c r="O100" i="3"/>
  <c r="P100" i="3"/>
  <c r="R100" i="3"/>
  <c r="S100" i="3"/>
  <c r="T100" i="3"/>
  <c r="J101" i="3"/>
  <c r="K101" i="3"/>
  <c r="L101" i="3"/>
  <c r="N101" i="3"/>
  <c r="O101" i="3"/>
  <c r="P101" i="3"/>
  <c r="R101" i="3"/>
  <c r="S101" i="3"/>
  <c r="T101" i="3"/>
  <c r="J93" i="3"/>
  <c r="K93" i="3"/>
  <c r="L93" i="3"/>
  <c r="N93" i="3"/>
  <c r="O93" i="3"/>
  <c r="P93" i="3"/>
  <c r="R93" i="3"/>
  <c r="S93" i="3"/>
  <c r="T93" i="3"/>
  <c r="J94" i="3"/>
  <c r="K94" i="3"/>
  <c r="L94" i="3"/>
  <c r="N94" i="3"/>
  <c r="O94" i="3"/>
  <c r="P94" i="3"/>
  <c r="R94" i="3"/>
  <c r="S94" i="3"/>
  <c r="T94" i="3"/>
  <c r="J95" i="3"/>
  <c r="K95" i="3"/>
  <c r="L95" i="3"/>
  <c r="N95" i="3"/>
  <c r="O95" i="3"/>
  <c r="P95" i="3"/>
  <c r="R95" i="3"/>
  <c r="S95" i="3"/>
  <c r="T95" i="3"/>
  <c r="J96" i="3"/>
  <c r="K96" i="3"/>
  <c r="L96" i="3"/>
  <c r="N96" i="3"/>
  <c r="O96" i="3"/>
  <c r="P96" i="3"/>
  <c r="R96" i="3"/>
  <c r="S96" i="3"/>
  <c r="T96" i="3"/>
  <c r="J88" i="3"/>
  <c r="K88" i="3"/>
  <c r="L88" i="3"/>
  <c r="N88" i="3"/>
  <c r="O88" i="3"/>
  <c r="P88" i="3"/>
  <c r="R88" i="3"/>
  <c r="S88" i="3"/>
  <c r="T88" i="3"/>
  <c r="J89" i="3"/>
  <c r="K89" i="3"/>
  <c r="L89" i="3"/>
  <c r="N89" i="3"/>
  <c r="O89" i="3"/>
  <c r="P89" i="3"/>
  <c r="R89" i="3"/>
  <c r="S89" i="3"/>
  <c r="T89" i="3"/>
  <c r="J90" i="3"/>
  <c r="K90" i="3"/>
  <c r="L90" i="3"/>
  <c r="N90" i="3"/>
  <c r="O90" i="3"/>
  <c r="P90" i="3"/>
  <c r="R90" i="3"/>
  <c r="S90" i="3"/>
  <c r="T90" i="3"/>
  <c r="J91" i="3"/>
  <c r="K91" i="3"/>
  <c r="L91" i="3"/>
  <c r="N91" i="3"/>
  <c r="O91" i="3"/>
  <c r="P91" i="3"/>
  <c r="R91" i="3"/>
  <c r="S91" i="3"/>
  <c r="T91" i="3"/>
  <c r="J83" i="3"/>
  <c r="K83" i="3"/>
  <c r="L83" i="3"/>
  <c r="N83" i="3"/>
  <c r="O83" i="3"/>
  <c r="P83" i="3"/>
  <c r="R83" i="3"/>
  <c r="S83" i="3"/>
  <c r="T83" i="3"/>
  <c r="J84" i="3"/>
  <c r="K84" i="3"/>
  <c r="L84" i="3"/>
  <c r="N84" i="3"/>
  <c r="O84" i="3"/>
  <c r="P84" i="3"/>
  <c r="R84" i="3"/>
  <c r="S84" i="3"/>
  <c r="T84" i="3"/>
  <c r="J85" i="3"/>
  <c r="K85" i="3"/>
  <c r="L85" i="3"/>
  <c r="N85" i="3"/>
  <c r="O85" i="3"/>
  <c r="P85" i="3"/>
  <c r="R85" i="3"/>
  <c r="S85" i="3"/>
  <c r="T85" i="3"/>
  <c r="J86" i="3"/>
  <c r="K86" i="3"/>
  <c r="L86" i="3"/>
  <c r="N86" i="3"/>
  <c r="O86" i="3"/>
  <c r="P86" i="3"/>
  <c r="R86" i="3"/>
  <c r="S86" i="3"/>
  <c r="T86" i="3"/>
  <c r="J78" i="3"/>
  <c r="K78" i="3"/>
  <c r="L78" i="3"/>
  <c r="N78" i="3"/>
  <c r="O78" i="3"/>
  <c r="P78" i="3"/>
  <c r="R78" i="3"/>
  <c r="S78" i="3"/>
  <c r="T78" i="3"/>
  <c r="J79" i="3"/>
  <c r="K79" i="3"/>
  <c r="L79" i="3"/>
  <c r="N79" i="3"/>
  <c r="O79" i="3"/>
  <c r="P79" i="3"/>
  <c r="R79" i="3"/>
  <c r="S79" i="3"/>
  <c r="T79" i="3"/>
  <c r="J80" i="3"/>
  <c r="K80" i="3"/>
  <c r="L80" i="3"/>
  <c r="N80" i="3"/>
  <c r="O80" i="3"/>
  <c r="P80" i="3"/>
  <c r="R80" i="3"/>
  <c r="S80" i="3"/>
  <c r="T80" i="3"/>
  <c r="J81" i="3"/>
  <c r="K81" i="3"/>
  <c r="L81" i="3"/>
  <c r="N81" i="3"/>
  <c r="O81" i="3"/>
  <c r="P81" i="3"/>
  <c r="R81" i="3"/>
  <c r="S81" i="3"/>
  <c r="T81" i="3"/>
  <c r="J73" i="3"/>
  <c r="K73" i="3"/>
  <c r="L73" i="3"/>
  <c r="N73" i="3"/>
  <c r="O73" i="3"/>
  <c r="P73" i="3"/>
  <c r="R73" i="3"/>
  <c r="S73" i="3"/>
  <c r="T73" i="3"/>
  <c r="J74" i="3"/>
  <c r="K74" i="3"/>
  <c r="L74" i="3"/>
  <c r="N74" i="3"/>
  <c r="O74" i="3"/>
  <c r="P74" i="3"/>
  <c r="R74" i="3"/>
  <c r="S74" i="3"/>
  <c r="T74" i="3"/>
  <c r="J75" i="3"/>
  <c r="K75" i="3"/>
  <c r="L75" i="3"/>
  <c r="N75" i="3"/>
  <c r="O75" i="3"/>
  <c r="P75" i="3"/>
  <c r="R75" i="3"/>
  <c r="S75" i="3"/>
  <c r="T75" i="3"/>
  <c r="J76" i="3"/>
  <c r="K76" i="3"/>
  <c r="L76" i="3"/>
  <c r="N76" i="3"/>
  <c r="O76" i="3"/>
  <c r="P76" i="3"/>
  <c r="R76" i="3"/>
  <c r="S76" i="3"/>
  <c r="T76" i="3"/>
  <c r="J68" i="3"/>
  <c r="K68" i="3"/>
  <c r="L68" i="3"/>
  <c r="N68" i="3"/>
  <c r="O68" i="3"/>
  <c r="P68" i="3"/>
  <c r="R68" i="3"/>
  <c r="S68" i="3"/>
  <c r="T68" i="3"/>
  <c r="J69" i="3"/>
  <c r="K69" i="3"/>
  <c r="L69" i="3"/>
  <c r="N69" i="3"/>
  <c r="O69" i="3"/>
  <c r="P69" i="3"/>
  <c r="R69" i="3"/>
  <c r="S69" i="3"/>
  <c r="T69" i="3"/>
  <c r="J70" i="3"/>
  <c r="K70" i="3"/>
  <c r="L70" i="3"/>
  <c r="N70" i="3"/>
  <c r="O70" i="3"/>
  <c r="P70" i="3"/>
  <c r="R70" i="3"/>
  <c r="S70" i="3"/>
  <c r="T70" i="3"/>
  <c r="J71" i="3"/>
  <c r="K71" i="3"/>
  <c r="L71" i="3"/>
  <c r="N71" i="3"/>
  <c r="O71" i="3"/>
  <c r="P71" i="3"/>
  <c r="R71" i="3"/>
  <c r="S71" i="3"/>
  <c r="T71" i="3"/>
  <c r="J65" i="3"/>
  <c r="K65" i="3"/>
  <c r="L65" i="3"/>
  <c r="N65" i="3"/>
  <c r="O65" i="3"/>
  <c r="P65" i="3"/>
  <c r="R65" i="3"/>
  <c r="S65" i="3"/>
  <c r="T65" i="3"/>
  <c r="J66" i="3"/>
  <c r="K66" i="3"/>
  <c r="L66" i="3"/>
  <c r="N66" i="3"/>
  <c r="O66" i="3"/>
  <c r="P66" i="3"/>
  <c r="R66" i="3"/>
  <c r="S66" i="3"/>
  <c r="T66" i="3"/>
  <c r="J62" i="3"/>
  <c r="K62" i="3"/>
  <c r="L62" i="3"/>
  <c r="N62" i="3"/>
  <c r="O62" i="3"/>
  <c r="P62" i="3"/>
  <c r="R62" i="3"/>
  <c r="S62" i="3"/>
  <c r="T62" i="3"/>
  <c r="J63" i="3"/>
  <c r="K63" i="3"/>
  <c r="L63" i="3"/>
  <c r="N63" i="3"/>
  <c r="O63" i="3"/>
  <c r="P63" i="3"/>
  <c r="R63" i="3"/>
  <c r="S63" i="3"/>
  <c r="T63" i="3"/>
  <c r="J59" i="3"/>
  <c r="K59" i="3"/>
  <c r="L59" i="3"/>
  <c r="N59" i="3"/>
  <c r="O59" i="3"/>
  <c r="P59" i="3"/>
  <c r="R59" i="3"/>
  <c r="S59" i="3"/>
  <c r="T59" i="3"/>
  <c r="J60" i="3"/>
  <c r="K60" i="3"/>
  <c r="L60" i="3"/>
  <c r="N60" i="3"/>
  <c r="O60" i="3"/>
  <c r="P60" i="3"/>
  <c r="R60" i="3"/>
  <c r="S60" i="3"/>
  <c r="T60" i="3"/>
  <c r="J56" i="3"/>
  <c r="K56" i="3"/>
  <c r="L56" i="3"/>
  <c r="N56" i="3"/>
  <c r="O56" i="3"/>
  <c r="P56" i="3"/>
  <c r="R56" i="3"/>
  <c r="S56" i="3"/>
  <c r="T56" i="3"/>
  <c r="J57" i="3"/>
  <c r="K57" i="3"/>
  <c r="L57" i="3"/>
  <c r="N57" i="3"/>
  <c r="O57" i="3"/>
  <c r="P57" i="3"/>
  <c r="R57" i="3"/>
  <c r="S57" i="3"/>
  <c r="T57" i="3"/>
  <c r="J53" i="3"/>
  <c r="K53" i="3"/>
  <c r="L53" i="3"/>
  <c r="N53" i="3"/>
  <c r="O53" i="3"/>
  <c r="P53" i="3"/>
  <c r="R53" i="3"/>
  <c r="S53" i="3"/>
  <c r="T53" i="3"/>
  <c r="J54" i="3"/>
  <c r="K54" i="3"/>
  <c r="L54" i="3"/>
  <c r="N54" i="3"/>
  <c r="O54" i="3"/>
  <c r="P54" i="3"/>
  <c r="R54" i="3"/>
  <c r="S54" i="3"/>
  <c r="T54" i="3"/>
  <c r="J50" i="3"/>
  <c r="K50" i="3"/>
  <c r="L50" i="3"/>
  <c r="N50" i="3"/>
  <c r="O50" i="3"/>
  <c r="P50" i="3"/>
  <c r="R50" i="3"/>
  <c r="S50" i="3"/>
  <c r="T50" i="3"/>
  <c r="J51" i="3"/>
  <c r="K51" i="3"/>
  <c r="L51" i="3"/>
  <c r="N51" i="3"/>
  <c r="O51" i="3"/>
  <c r="P51" i="3"/>
  <c r="R51" i="3"/>
  <c r="S51" i="3"/>
  <c r="T51" i="3"/>
  <c r="J47" i="3"/>
  <c r="K47" i="3"/>
  <c r="L47" i="3"/>
  <c r="N47" i="3"/>
  <c r="O47" i="3"/>
  <c r="P47" i="3"/>
  <c r="R47" i="3"/>
  <c r="S47" i="3"/>
  <c r="T47" i="3"/>
  <c r="J48" i="3"/>
  <c r="K48" i="3"/>
  <c r="L48" i="3"/>
  <c r="N48" i="3"/>
  <c r="O48" i="3"/>
  <c r="P48" i="3"/>
  <c r="R48" i="3"/>
  <c r="S48" i="3"/>
  <c r="T48" i="3"/>
  <c r="J44" i="3"/>
  <c r="K44" i="3"/>
  <c r="L44" i="3"/>
  <c r="N44" i="3"/>
  <c r="O44" i="3"/>
  <c r="P44" i="3"/>
  <c r="R44" i="3"/>
  <c r="S44" i="3"/>
  <c r="T44" i="3"/>
  <c r="J45" i="3"/>
  <c r="K45" i="3"/>
  <c r="L45" i="3"/>
  <c r="N45" i="3"/>
  <c r="O45" i="3"/>
  <c r="P45" i="3"/>
  <c r="R45" i="3"/>
  <c r="S45" i="3"/>
  <c r="T45" i="3"/>
  <c r="J46" i="3"/>
  <c r="K46" i="3"/>
  <c r="L46" i="3"/>
  <c r="N46" i="3"/>
  <c r="O46" i="3"/>
  <c r="P46" i="3"/>
  <c r="R46" i="3"/>
  <c r="S46" i="3"/>
  <c r="T46" i="3"/>
  <c r="J41" i="3"/>
  <c r="K41" i="3"/>
  <c r="L41" i="3"/>
  <c r="N41" i="3"/>
  <c r="O41" i="3"/>
  <c r="P41" i="3"/>
  <c r="R41" i="3"/>
  <c r="S41" i="3"/>
  <c r="T41" i="3"/>
  <c r="J42" i="3"/>
  <c r="K42" i="3"/>
  <c r="L42" i="3"/>
  <c r="N42" i="3"/>
  <c r="O42" i="3"/>
  <c r="P42" i="3"/>
  <c r="R42" i="3"/>
  <c r="S42" i="3"/>
  <c r="T42" i="3"/>
  <c r="J38" i="3"/>
  <c r="K38" i="3"/>
  <c r="L38" i="3"/>
  <c r="N38" i="3"/>
  <c r="O38" i="3"/>
  <c r="P38" i="3"/>
  <c r="R38" i="3"/>
  <c r="S38" i="3"/>
  <c r="T38" i="3"/>
  <c r="J39" i="3"/>
  <c r="K39" i="3"/>
  <c r="L39" i="3"/>
  <c r="N39" i="3"/>
  <c r="O39" i="3"/>
  <c r="P39" i="3"/>
  <c r="R39" i="3"/>
  <c r="S39" i="3"/>
  <c r="T39" i="3"/>
  <c r="G12" i="15" l="1"/>
  <c r="H12" i="15"/>
  <c r="I12" i="15"/>
  <c r="J12" i="15"/>
  <c r="K12" i="15"/>
  <c r="G13" i="15"/>
  <c r="H13" i="15"/>
  <c r="I13" i="15"/>
  <c r="J13" i="15"/>
  <c r="K13" i="15"/>
  <c r="G14" i="15"/>
  <c r="H14" i="15"/>
  <c r="I14" i="15"/>
  <c r="J14" i="15"/>
  <c r="K14" i="15"/>
  <c r="G15" i="15"/>
  <c r="H15" i="15"/>
  <c r="I15" i="15"/>
  <c r="J15" i="15"/>
  <c r="K15" i="15"/>
  <c r="G16" i="15"/>
  <c r="H16" i="15"/>
  <c r="I16" i="15"/>
  <c r="J16" i="15"/>
  <c r="K16" i="15"/>
  <c r="G17" i="15"/>
  <c r="H17" i="15"/>
  <c r="I17" i="15"/>
  <c r="J17" i="15"/>
  <c r="K17" i="15"/>
  <c r="G18" i="15"/>
  <c r="H18" i="15"/>
  <c r="I18" i="15"/>
  <c r="J18" i="15"/>
  <c r="K18" i="15"/>
  <c r="G19" i="15"/>
  <c r="H19" i="15"/>
  <c r="I19" i="15"/>
  <c r="J19" i="15"/>
  <c r="K19" i="15"/>
  <c r="G20" i="15"/>
  <c r="H20" i="15"/>
  <c r="I20" i="15"/>
  <c r="J20" i="15"/>
  <c r="K20" i="15"/>
  <c r="G21" i="15"/>
  <c r="H21" i="15"/>
  <c r="I21" i="15"/>
  <c r="J21" i="15"/>
  <c r="K21" i="15"/>
  <c r="G22" i="15"/>
  <c r="H22" i="15"/>
  <c r="I22" i="15"/>
  <c r="J22" i="15"/>
  <c r="K22" i="15"/>
  <c r="G23" i="15"/>
  <c r="H23" i="15"/>
  <c r="I23" i="15"/>
  <c r="J23" i="15"/>
  <c r="K23" i="15"/>
  <c r="G24" i="15"/>
  <c r="H24" i="15"/>
  <c r="I24" i="15"/>
  <c r="J24" i="15"/>
  <c r="K24" i="15"/>
  <c r="G25" i="15"/>
  <c r="H25" i="15"/>
  <c r="I25" i="15"/>
  <c r="J25" i="15"/>
  <c r="K25" i="15"/>
  <c r="G26" i="15"/>
  <c r="H26" i="15"/>
  <c r="I26" i="15"/>
  <c r="J26" i="15"/>
  <c r="K26" i="15"/>
  <c r="G27" i="15"/>
  <c r="H27" i="15"/>
  <c r="I27" i="15"/>
  <c r="J27" i="15"/>
  <c r="K27" i="15"/>
  <c r="G28" i="15"/>
  <c r="H28" i="15"/>
  <c r="I28" i="15"/>
  <c r="J28" i="15"/>
  <c r="K28" i="15"/>
  <c r="G29" i="15"/>
  <c r="H29" i="15"/>
  <c r="I29" i="15"/>
  <c r="J29" i="15"/>
  <c r="K29" i="15"/>
  <c r="G30" i="15"/>
  <c r="H30" i="15"/>
  <c r="I30" i="15"/>
  <c r="J30" i="15"/>
  <c r="K30" i="15"/>
  <c r="G31" i="15"/>
  <c r="H31" i="15"/>
  <c r="I31" i="15"/>
  <c r="J31" i="15"/>
  <c r="K31" i="15"/>
  <c r="G32" i="15"/>
  <c r="H32" i="15"/>
  <c r="I32" i="15"/>
  <c r="J32" i="15"/>
  <c r="K32" i="15"/>
  <c r="G33" i="15"/>
  <c r="H33" i="15"/>
  <c r="I33" i="15"/>
  <c r="J33" i="15"/>
  <c r="K33" i="15"/>
  <c r="G34" i="15"/>
  <c r="H34" i="15"/>
  <c r="I34" i="15"/>
  <c r="J34" i="15"/>
  <c r="K34" i="15"/>
  <c r="G35" i="15"/>
  <c r="H35" i="15"/>
  <c r="I35" i="15"/>
  <c r="J35" i="15"/>
  <c r="K35" i="15"/>
  <c r="G36" i="15"/>
  <c r="H36" i="15"/>
  <c r="I36" i="15"/>
  <c r="J36" i="15"/>
  <c r="K36" i="15"/>
  <c r="G37" i="15"/>
  <c r="H37" i="15"/>
  <c r="I37" i="15"/>
  <c r="J37" i="15"/>
  <c r="K37" i="15"/>
  <c r="G38" i="15"/>
  <c r="H38" i="15"/>
  <c r="I38" i="15"/>
  <c r="J38" i="15"/>
  <c r="K38" i="15"/>
  <c r="G39" i="15"/>
  <c r="H39" i="15"/>
  <c r="I39" i="15"/>
  <c r="J39" i="15"/>
  <c r="K39" i="15"/>
  <c r="G40" i="15"/>
  <c r="H40" i="15"/>
  <c r="I40" i="15"/>
  <c r="J40" i="15"/>
  <c r="K40" i="15"/>
  <c r="G41" i="15"/>
  <c r="H41" i="15"/>
  <c r="I41" i="15"/>
  <c r="J41" i="15"/>
  <c r="K41" i="15"/>
  <c r="G42" i="15"/>
  <c r="H42" i="15"/>
  <c r="I42" i="15"/>
  <c r="J42" i="15"/>
  <c r="K42" i="15"/>
  <c r="G43" i="15"/>
  <c r="H43" i="15"/>
  <c r="I43" i="15"/>
  <c r="J43" i="15"/>
  <c r="K43" i="15"/>
  <c r="G44" i="15"/>
  <c r="H44" i="15"/>
  <c r="I44" i="15"/>
  <c r="J44" i="15"/>
  <c r="K44" i="15"/>
  <c r="G45" i="15"/>
  <c r="H45" i="15"/>
  <c r="I45" i="15"/>
  <c r="J45" i="15"/>
  <c r="K45" i="15"/>
  <c r="G46" i="15"/>
  <c r="H46" i="15"/>
  <c r="I46" i="15"/>
  <c r="J46" i="15"/>
  <c r="K46" i="15"/>
  <c r="G47" i="15"/>
  <c r="H47" i="15"/>
  <c r="I47" i="15"/>
  <c r="J47" i="15"/>
  <c r="K47" i="15"/>
  <c r="G48" i="15"/>
  <c r="H48" i="15"/>
  <c r="I48" i="15"/>
  <c r="J48" i="15"/>
  <c r="K48" i="15"/>
  <c r="G49" i="15"/>
  <c r="H49" i="15"/>
  <c r="I49" i="15"/>
  <c r="J49" i="15"/>
  <c r="K49" i="15"/>
  <c r="G50" i="15"/>
  <c r="H50" i="15"/>
  <c r="I50" i="15"/>
  <c r="J50" i="15"/>
  <c r="K50" i="15"/>
  <c r="G51" i="15"/>
  <c r="H51" i="15"/>
  <c r="I51" i="15"/>
  <c r="J51" i="15"/>
  <c r="K51" i="15"/>
  <c r="G52" i="15"/>
  <c r="H52" i="15"/>
  <c r="I52" i="15"/>
  <c r="J52" i="15"/>
  <c r="K52" i="15"/>
  <c r="G53" i="15"/>
  <c r="H53" i="15"/>
  <c r="I53" i="15"/>
  <c r="J53" i="15"/>
  <c r="K53" i="15"/>
  <c r="G54" i="15"/>
  <c r="H54" i="15"/>
  <c r="I54" i="15"/>
  <c r="J54" i="15"/>
  <c r="K54" i="15"/>
  <c r="G55" i="15"/>
  <c r="H55" i="15"/>
  <c r="I55" i="15"/>
  <c r="J55" i="15"/>
  <c r="K55" i="15"/>
  <c r="G56" i="15"/>
  <c r="H56" i="15"/>
  <c r="I56" i="15"/>
  <c r="J56" i="15"/>
  <c r="K56" i="15"/>
  <c r="G57" i="15"/>
  <c r="H57" i="15"/>
  <c r="I57" i="15"/>
  <c r="J57" i="15"/>
  <c r="K57" i="15"/>
  <c r="G58" i="15"/>
  <c r="H58" i="15"/>
  <c r="I58" i="15"/>
  <c r="J58" i="15"/>
  <c r="K58" i="15"/>
  <c r="G59" i="15"/>
  <c r="H59" i="15"/>
  <c r="I59" i="15"/>
  <c r="J59" i="15"/>
  <c r="K59" i="15"/>
  <c r="G60" i="15"/>
  <c r="H60" i="15"/>
  <c r="I60" i="15"/>
  <c r="J60" i="15"/>
  <c r="K60" i="15"/>
  <c r="G61" i="15"/>
  <c r="H61" i="15"/>
  <c r="I61" i="15"/>
  <c r="J61" i="15"/>
  <c r="K61" i="15"/>
  <c r="G62" i="15"/>
  <c r="H62" i="15"/>
  <c r="I62" i="15"/>
  <c r="J62" i="15"/>
  <c r="K62" i="15"/>
  <c r="G63" i="15"/>
  <c r="H63" i="15"/>
  <c r="I63" i="15"/>
  <c r="J63" i="15"/>
  <c r="K63" i="15"/>
  <c r="G64" i="15"/>
  <c r="H64" i="15"/>
  <c r="I64" i="15"/>
  <c r="J64" i="15"/>
  <c r="K64" i="15"/>
  <c r="G65" i="15"/>
  <c r="H65" i="15"/>
  <c r="I65" i="15"/>
  <c r="J65" i="15"/>
  <c r="K65" i="15"/>
  <c r="G66" i="15"/>
  <c r="H66" i="15"/>
  <c r="I66" i="15"/>
  <c r="J66" i="15"/>
  <c r="K66" i="15"/>
  <c r="G67" i="15"/>
  <c r="H67" i="15"/>
  <c r="I67" i="15"/>
  <c r="J67" i="15"/>
  <c r="K67" i="15"/>
  <c r="G68" i="15"/>
  <c r="H68" i="15"/>
  <c r="I68" i="15"/>
  <c r="J68" i="15"/>
  <c r="K68" i="15"/>
  <c r="G69" i="15"/>
  <c r="H69" i="15"/>
  <c r="I69" i="15"/>
  <c r="J69" i="15"/>
  <c r="K69" i="15"/>
  <c r="G70" i="15"/>
  <c r="H70" i="15"/>
  <c r="I70" i="15"/>
  <c r="J70" i="15"/>
  <c r="K70" i="15"/>
  <c r="G71" i="15"/>
  <c r="H71" i="15"/>
  <c r="I71" i="15"/>
  <c r="J71" i="15"/>
  <c r="K71" i="15"/>
  <c r="G72" i="15"/>
  <c r="H72" i="15"/>
  <c r="I72" i="15"/>
  <c r="J72" i="15"/>
  <c r="K72" i="15"/>
  <c r="G73" i="15"/>
  <c r="H73" i="15"/>
  <c r="I73" i="15"/>
  <c r="J73" i="15"/>
  <c r="K73" i="15"/>
  <c r="G74" i="15"/>
  <c r="H74" i="15"/>
  <c r="I74" i="15"/>
  <c r="J74" i="15"/>
  <c r="K74" i="15"/>
  <c r="G75" i="15"/>
  <c r="H75" i="15"/>
  <c r="I75" i="15"/>
  <c r="J75" i="15"/>
  <c r="K75" i="15"/>
  <c r="G76" i="15"/>
  <c r="H76" i="15"/>
  <c r="I76" i="15"/>
  <c r="J76" i="15"/>
  <c r="K76" i="15"/>
  <c r="G77" i="15"/>
  <c r="H77" i="15"/>
  <c r="I77" i="15"/>
  <c r="J77" i="15"/>
  <c r="K77" i="15"/>
  <c r="G78" i="15"/>
  <c r="H78" i="15"/>
  <c r="I78" i="15"/>
  <c r="J78" i="15"/>
  <c r="K78" i="15"/>
  <c r="G79" i="15"/>
  <c r="H79" i="15"/>
  <c r="I79" i="15"/>
  <c r="J79" i="15"/>
  <c r="K79" i="15"/>
  <c r="G80" i="15"/>
  <c r="H80" i="15"/>
  <c r="I80" i="15"/>
  <c r="J80" i="15"/>
  <c r="K80" i="15"/>
  <c r="G81" i="15"/>
  <c r="H81" i="15"/>
  <c r="I81" i="15"/>
  <c r="J81" i="15"/>
  <c r="K81" i="15"/>
  <c r="G82" i="15"/>
  <c r="H82" i="15"/>
  <c r="I82" i="15"/>
  <c r="J82" i="15"/>
  <c r="K82" i="15"/>
  <c r="G83" i="15"/>
  <c r="H83" i="15"/>
  <c r="I83" i="15"/>
  <c r="J83" i="15"/>
  <c r="K83" i="15"/>
  <c r="G84" i="15"/>
  <c r="H84" i="15"/>
  <c r="I84" i="15"/>
  <c r="J84" i="15"/>
  <c r="K84" i="15"/>
  <c r="G85" i="15"/>
  <c r="H85" i="15"/>
  <c r="I85" i="15"/>
  <c r="J85" i="15"/>
  <c r="K85" i="15"/>
  <c r="G86" i="15"/>
  <c r="H86" i="15"/>
  <c r="I86" i="15"/>
  <c r="J86" i="15"/>
  <c r="K86" i="15"/>
  <c r="G87" i="15"/>
  <c r="H87" i="15"/>
  <c r="I87" i="15"/>
  <c r="J87" i="15"/>
  <c r="K87" i="15"/>
  <c r="G88" i="15"/>
  <c r="H88" i="15"/>
  <c r="I88" i="15"/>
  <c r="J88" i="15"/>
  <c r="K88" i="15"/>
  <c r="G89" i="15"/>
  <c r="H89" i="15"/>
  <c r="I89" i="15"/>
  <c r="J89" i="15"/>
  <c r="K89" i="15"/>
  <c r="G90" i="15"/>
  <c r="H90" i="15"/>
  <c r="I90" i="15"/>
  <c r="J90" i="15"/>
  <c r="K90" i="15"/>
  <c r="G91" i="15"/>
  <c r="H91" i="15"/>
  <c r="I91" i="15"/>
  <c r="J91" i="15"/>
  <c r="K91" i="15"/>
  <c r="G92" i="15"/>
  <c r="H92" i="15"/>
  <c r="I92" i="15"/>
  <c r="J92" i="15"/>
  <c r="K92" i="15"/>
  <c r="G93" i="15"/>
  <c r="H93" i="15"/>
  <c r="I93" i="15"/>
  <c r="J93" i="15"/>
  <c r="K93" i="15"/>
  <c r="G94" i="15"/>
  <c r="H94" i="15"/>
  <c r="I94" i="15"/>
  <c r="J94" i="15"/>
  <c r="K94" i="15"/>
  <c r="G95" i="15"/>
  <c r="H95" i="15"/>
  <c r="I95" i="15"/>
  <c r="J95" i="15"/>
  <c r="K95" i="15"/>
  <c r="G96" i="15"/>
  <c r="H96" i="15"/>
  <c r="I96" i="15"/>
  <c r="J96" i="15"/>
  <c r="K96" i="15"/>
  <c r="G97" i="15"/>
  <c r="H97" i="15"/>
  <c r="I97" i="15"/>
  <c r="J97" i="15"/>
  <c r="K97" i="15"/>
  <c r="G98" i="15"/>
  <c r="H98" i="15"/>
  <c r="I98" i="15"/>
  <c r="J98" i="15"/>
  <c r="K98" i="15"/>
  <c r="G99" i="15"/>
  <c r="H99" i="15"/>
  <c r="I99" i="15"/>
  <c r="J99" i="15"/>
  <c r="K99" i="15"/>
  <c r="G100" i="15"/>
  <c r="H100" i="15"/>
  <c r="I100" i="15"/>
  <c r="J100" i="15"/>
  <c r="K100" i="15"/>
  <c r="G101" i="15"/>
  <c r="H101" i="15"/>
  <c r="I101" i="15"/>
  <c r="J101" i="15"/>
  <c r="K101" i="15"/>
  <c r="G102" i="15"/>
  <c r="H102" i="15"/>
  <c r="I102" i="15"/>
  <c r="J102" i="15"/>
  <c r="K102" i="15"/>
  <c r="G103" i="15"/>
  <c r="H103" i="15"/>
  <c r="I103" i="15"/>
  <c r="J103" i="15"/>
  <c r="K103" i="15"/>
  <c r="G104" i="15"/>
  <c r="H104" i="15"/>
  <c r="I104" i="15"/>
  <c r="J104" i="15"/>
  <c r="K104" i="15"/>
  <c r="G105" i="15"/>
  <c r="H105" i="15"/>
  <c r="I105" i="15"/>
  <c r="J105" i="15"/>
  <c r="K105" i="15"/>
  <c r="G106" i="15"/>
  <c r="H106" i="15"/>
  <c r="I106" i="15"/>
  <c r="J106" i="15"/>
  <c r="K106" i="15"/>
  <c r="G107" i="15"/>
  <c r="H107" i="15"/>
  <c r="I107" i="15"/>
  <c r="J107" i="15"/>
  <c r="K107" i="15"/>
  <c r="G108" i="15"/>
  <c r="H108" i="15"/>
  <c r="I108" i="15"/>
  <c r="J108" i="15"/>
  <c r="K108" i="15"/>
  <c r="G109" i="15"/>
  <c r="H109" i="15"/>
  <c r="I109" i="15"/>
  <c r="J109" i="15"/>
  <c r="K109" i="15"/>
  <c r="G110" i="15"/>
  <c r="H110" i="15"/>
  <c r="I110" i="15"/>
  <c r="J110" i="15"/>
  <c r="K110" i="15"/>
  <c r="G111" i="15"/>
  <c r="H111" i="15"/>
  <c r="I111" i="15"/>
  <c r="J111" i="15"/>
  <c r="K111" i="15"/>
  <c r="G112" i="15"/>
  <c r="H112" i="15"/>
  <c r="I112" i="15"/>
  <c r="J112" i="15"/>
  <c r="K112" i="15"/>
  <c r="G113" i="15"/>
  <c r="H113" i="15"/>
  <c r="I113" i="15"/>
  <c r="J113" i="15"/>
  <c r="K113" i="15"/>
  <c r="G114" i="15"/>
  <c r="H114" i="15"/>
  <c r="I114" i="15"/>
  <c r="J114" i="15"/>
  <c r="K114" i="15"/>
  <c r="G115" i="15"/>
  <c r="H115" i="15"/>
  <c r="I115" i="15"/>
  <c r="J115" i="15"/>
  <c r="K115" i="15"/>
  <c r="G116" i="15"/>
  <c r="H116" i="15"/>
  <c r="I116" i="15"/>
  <c r="J116" i="15"/>
  <c r="K116" i="15"/>
  <c r="G117" i="15"/>
  <c r="H117" i="15"/>
  <c r="I117" i="15"/>
  <c r="J117" i="15"/>
  <c r="K117" i="15"/>
  <c r="G118" i="15"/>
  <c r="H118" i="15"/>
  <c r="I118" i="15"/>
  <c r="J118" i="15"/>
  <c r="K118" i="15"/>
  <c r="G119" i="15"/>
  <c r="H119" i="15"/>
  <c r="I119" i="15"/>
  <c r="J119" i="15"/>
  <c r="K119" i="15"/>
  <c r="G120" i="15"/>
  <c r="H120" i="15"/>
  <c r="I120" i="15"/>
  <c r="J120" i="15"/>
  <c r="K120" i="15"/>
  <c r="G121" i="15"/>
  <c r="H121" i="15"/>
  <c r="I121" i="15"/>
  <c r="J121" i="15"/>
  <c r="K121" i="15"/>
  <c r="G122" i="15"/>
  <c r="H122" i="15"/>
  <c r="I122" i="15"/>
  <c r="J122" i="15"/>
  <c r="K122" i="15"/>
  <c r="G123" i="15"/>
  <c r="H123" i="15"/>
  <c r="I123" i="15"/>
  <c r="J123" i="15"/>
  <c r="K123" i="15"/>
  <c r="G124" i="15"/>
  <c r="H124" i="15"/>
  <c r="I124" i="15"/>
  <c r="J124" i="15"/>
  <c r="K124" i="15"/>
  <c r="G125" i="15"/>
  <c r="H125" i="15"/>
  <c r="I125" i="15"/>
  <c r="J125" i="15"/>
  <c r="K125" i="15"/>
  <c r="G126" i="15"/>
  <c r="H126" i="15"/>
  <c r="I126" i="15"/>
  <c r="J126" i="15"/>
  <c r="K126" i="15"/>
  <c r="G127" i="15"/>
  <c r="H127" i="15"/>
  <c r="I127" i="15"/>
  <c r="J127" i="15"/>
  <c r="K127" i="15"/>
  <c r="G128" i="15"/>
  <c r="H128" i="15"/>
  <c r="I128" i="15"/>
  <c r="J128" i="15"/>
  <c r="K128" i="15"/>
  <c r="G129" i="15"/>
  <c r="H129" i="15"/>
  <c r="I129" i="15"/>
  <c r="J129" i="15"/>
  <c r="K129" i="15"/>
  <c r="G130" i="15"/>
  <c r="H130" i="15"/>
  <c r="I130" i="15"/>
  <c r="J130" i="15"/>
  <c r="K130" i="15"/>
  <c r="G131" i="15"/>
  <c r="H131" i="15"/>
  <c r="I131" i="15"/>
  <c r="J131" i="15"/>
  <c r="K131" i="15"/>
  <c r="G132" i="15"/>
  <c r="H132" i="15"/>
  <c r="I132" i="15"/>
  <c r="J132" i="15"/>
  <c r="K132" i="15"/>
  <c r="G133" i="15"/>
  <c r="H133" i="15"/>
  <c r="I133" i="15"/>
  <c r="J133" i="15"/>
  <c r="K133" i="15"/>
  <c r="G134" i="15"/>
  <c r="H134" i="15"/>
  <c r="I134" i="15"/>
  <c r="J134" i="15"/>
  <c r="K134" i="15"/>
  <c r="G135" i="15"/>
  <c r="H135" i="15"/>
  <c r="I135" i="15"/>
  <c r="J135" i="15"/>
  <c r="K135" i="15"/>
  <c r="G136" i="15"/>
  <c r="H136" i="15"/>
  <c r="I136" i="15"/>
  <c r="J136" i="15"/>
  <c r="K136" i="15"/>
  <c r="G137" i="15"/>
  <c r="H137" i="15"/>
  <c r="I137" i="15"/>
  <c r="J137" i="15"/>
  <c r="K137" i="15"/>
  <c r="G138" i="15"/>
  <c r="H138" i="15"/>
  <c r="I138" i="15"/>
  <c r="J138" i="15"/>
  <c r="K138" i="15"/>
  <c r="G139" i="15"/>
  <c r="H139" i="15"/>
  <c r="I139" i="15"/>
  <c r="J139" i="15"/>
  <c r="K139" i="15"/>
  <c r="G140" i="15"/>
  <c r="H140" i="15"/>
  <c r="I140" i="15"/>
  <c r="J140" i="15"/>
  <c r="K140" i="15"/>
  <c r="G141" i="15"/>
  <c r="H141" i="15"/>
  <c r="I141" i="15"/>
  <c r="J141" i="15"/>
  <c r="K141" i="15"/>
  <c r="G142" i="15"/>
  <c r="H142" i="15"/>
  <c r="I142" i="15"/>
  <c r="J142" i="15"/>
  <c r="K142" i="15"/>
  <c r="G143" i="15"/>
  <c r="H143" i="15"/>
  <c r="I143" i="15"/>
  <c r="J143" i="15"/>
  <c r="K143" i="15"/>
  <c r="G144" i="15"/>
  <c r="H144" i="15"/>
  <c r="I144" i="15"/>
  <c r="J144" i="15"/>
  <c r="K144" i="15"/>
  <c r="G145" i="15"/>
  <c r="H145" i="15"/>
  <c r="I145" i="15"/>
  <c r="J145" i="15"/>
  <c r="K145" i="15"/>
  <c r="G146" i="15"/>
  <c r="H146" i="15"/>
  <c r="I146" i="15"/>
  <c r="J146" i="15"/>
  <c r="K146" i="15"/>
  <c r="G147" i="15"/>
  <c r="H147" i="15"/>
  <c r="I147" i="15"/>
  <c r="J147" i="15"/>
  <c r="K147" i="15"/>
  <c r="G148" i="15"/>
  <c r="H148" i="15"/>
  <c r="I148" i="15"/>
  <c r="J148" i="15"/>
  <c r="K148" i="15"/>
  <c r="G149" i="15"/>
  <c r="H149" i="15"/>
  <c r="I149" i="15"/>
  <c r="J149" i="15"/>
  <c r="K149" i="15"/>
  <c r="G150" i="15"/>
  <c r="H150" i="15"/>
  <c r="I150" i="15"/>
  <c r="J150" i="15"/>
  <c r="K150" i="15"/>
  <c r="G151" i="15"/>
  <c r="H151" i="15"/>
  <c r="I151" i="15"/>
  <c r="J151" i="15"/>
  <c r="K151" i="15"/>
  <c r="G152" i="15"/>
  <c r="H152" i="15"/>
  <c r="I152" i="15"/>
  <c r="J152" i="15"/>
  <c r="K152" i="15"/>
  <c r="G153" i="15"/>
  <c r="H153" i="15"/>
  <c r="I153" i="15"/>
  <c r="J153" i="15"/>
  <c r="K153" i="15"/>
  <c r="G154" i="15"/>
  <c r="H154" i="15"/>
  <c r="I154" i="15"/>
  <c r="J154" i="15"/>
  <c r="K154" i="15"/>
  <c r="G155" i="15"/>
  <c r="H155" i="15"/>
  <c r="I155" i="15"/>
  <c r="J155" i="15"/>
  <c r="K155" i="15"/>
  <c r="G156" i="15"/>
  <c r="H156" i="15"/>
  <c r="I156" i="15"/>
  <c r="J156" i="15"/>
  <c r="K156" i="15"/>
  <c r="G157" i="15"/>
  <c r="H157" i="15"/>
  <c r="I157" i="15"/>
  <c r="J157" i="15"/>
  <c r="K157" i="15"/>
  <c r="G158" i="15"/>
  <c r="H158" i="15"/>
  <c r="I158" i="15"/>
  <c r="J158" i="15"/>
  <c r="K158" i="15"/>
  <c r="G159" i="15"/>
  <c r="H159" i="15"/>
  <c r="I159" i="15"/>
  <c r="J159" i="15"/>
  <c r="K159" i="15"/>
  <c r="G160" i="15"/>
  <c r="H160" i="15"/>
  <c r="I160" i="15"/>
  <c r="J160" i="15"/>
  <c r="K160" i="15"/>
  <c r="I53" i="4" l="1"/>
  <c r="B7" i="15"/>
  <c r="AW43" i="16" l="1"/>
  <c r="AU35" i="16"/>
  <c r="AU36" i="16"/>
  <c r="AW36" i="16" s="1"/>
  <c r="AU37" i="16"/>
  <c r="AU38" i="16"/>
  <c r="AW38" i="16" s="1"/>
  <c r="AU39" i="16"/>
  <c r="AW39" i="16" s="1"/>
  <c r="AU40" i="16"/>
  <c r="AU41" i="16"/>
  <c r="AU42" i="16"/>
  <c r="AW42" i="16" s="1"/>
  <c r="AU34" i="16"/>
  <c r="AW34" i="16" s="1"/>
  <c r="AW35" i="16"/>
  <c r="AW37" i="16"/>
  <c r="AW40" i="16"/>
  <c r="AW41" i="16"/>
  <c r="AW33" i="16"/>
  <c r="AW24" i="16"/>
  <c r="AW25" i="16"/>
  <c r="AW26" i="16"/>
  <c r="AW27" i="16"/>
  <c r="AW28" i="16"/>
  <c r="AW29" i="16"/>
  <c r="AW30" i="16"/>
  <c r="AW31" i="16"/>
  <c r="AW32" i="16"/>
  <c r="AU25" i="16"/>
  <c r="AU26" i="16"/>
  <c r="AU27" i="16"/>
  <c r="AU28" i="16"/>
  <c r="AU29" i="16"/>
  <c r="AU30" i="16"/>
  <c r="AU31" i="16"/>
  <c r="AU32" i="16"/>
  <c r="AU24" i="16"/>
  <c r="AW23" i="16"/>
  <c r="AW13" i="16"/>
  <c r="AU14" i="16"/>
  <c r="AW15" i="16"/>
  <c r="AW16" i="16"/>
  <c r="AW17" i="16"/>
  <c r="AW18" i="16"/>
  <c r="AW19" i="16"/>
  <c r="AW20" i="16"/>
  <c r="AW21" i="16"/>
  <c r="AW22" i="16"/>
  <c r="AU15" i="16"/>
  <c r="AU16" i="16"/>
  <c r="AU17" i="16"/>
  <c r="AU18" i="16"/>
  <c r="AU19" i="16"/>
  <c r="AU20" i="16"/>
  <c r="AU21" i="16"/>
  <c r="AU22" i="16"/>
  <c r="AW14" i="16"/>
  <c r="AU4" i="16"/>
  <c r="AW4" i="16"/>
  <c r="AW3" i="16"/>
  <c r="AW5" i="16"/>
  <c r="AW6" i="16"/>
  <c r="AW7" i="16"/>
  <c r="AW8" i="16"/>
  <c r="AW9" i="16"/>
  <c r="AW10" i="16"/>
  <c r="AW11" i="16"/>
  <c r="AW12" i="16"/>
  <c r="AU5" i="16"/>
  <c r="AU6" i="16"/>
  <c r="AU7" i="16"/>
  <c r="AU8" i="16"/>
  <c r="AU9" i="16"/>
  <c r="AU10" i="16"/>
  <c r="AU11" i="16"/>
  <c r="AU12" i="16"/>
  <c r="BF47" i="16"/>
  <c r="BB47" i="16"/>
  <c r="AX47" i="16"/>
  <c r="AT47" i="16"/>
  <c r="AQ5" i="16" s="1"/>
  <c r="AQ4" i="16"/>
  <c r="AP47" i="16"/>
  <c r="C54" i="16"/>
  <c r="BJ47" i="16"/>
  <c r="BK4" i="16" s="1"/>
  <c r="BZ49" i="16"/>
  <c r="BV49" i="16"/>
  <c r="BR49" i="16"/>
  <c r="BN49" i="16"/>
  <c r="BJ49" i="16"/>
  <c r="BF49" i="16"/>
  <c r="BB49" i="16"/>
  <c r="AX49" i="16"/>
  <c r="AT49" i="16"/>
  <c r="AP49" i="16"/>
  <c r="BZ47" i="16"/>
  <c r="BK8" i="16" s="1"/>
  <c r="BV47" i="16"/>
  <c r="BK7" i="16" s="1"/>
  <c r="BR47" i="16"/>
  <c r="BK6" i="16" s="1"/>
  <c r="BN47" i="16"/>
  <c r="BK5" i="16" s="1"/>
  <c r="BJ8" i="16"/>
  <c r="BP43" i="16" s="1"/>
  <c r="BJ7" i="16"/>
  <c r="BJ6" i="16"/>
  <c r="BJ5" i="16"/>
  <c r="BJ4" i="16"/>
  <c r="BJ3" i="16"/>
  <c r="AP3" i="16"/>
  <c r="AP8" i="16"/>
  <c r="AV43" i="16" s="1"/>
  <c r="AP7" i="16"/>
  <c r="AP6" i="16"/>
  <c r="AP5" i="16"/>
  <c r="AP4" i="16"/>
  <c r="BM7" i="16" l="1"/>
  <c r="BM6" i="16"/>
  <c r="BM5" i="16"/>
  <c r="BQ43" i="16"/>
  <c r="BM8" i="16"/>
  <c r="AQ6" i="16"/>
  <c r="AQ7" i="16"/>
  <c r="AQ8" i="16"/>
  <c r="AO22" i="15"/>
  <c r="AN22" i="15"/>
  <c r="AO15" i="15"/>
  <c r="AN15" i="15"/>
  <c r="B4" i="16"/>
  <c r="AT22" i="15"/>
  <c r="AT15" i="15"/>
  <c r="AS7" i="16" l="1"/>
  <c r="AS6" i="16"/>
  <c r="AS5" i="16"/>
  <c r="AS8" i="16"/>
  <c r="M10" i="15" l="1"/>
  <c r="AU22" i="15" l="1"/>
  <c r="AU15" i="15"/>
  <c r="AP22" i="15" s="1"/>
  <c r="B7" i="16"/>
  <c r="B8" i="16"/>
  <c r="B6" i="16"/>
  <c r="B5" i="16"/>
  <c r="V3" i="16"/>
  <c r="V8" i="16"/>
  <c r="AB43" i="16" s="1"/>
  <c r="V7" i="16"/>
  <c r="V5" i="16"/>
  <c r="V4" i="16"/>
  <c r="V6" i="16"/>
  <c r="G11" i="15"/>
  <c r="L10" i="15"/>
  <c r="R11" i="15"/>
  <c r="BA45" i="15"/>
  <c r="BB45" i="15" s="1"/>
  <c r="BD45" i="15" s="1"/>
  <c r="BD46" i="15" s="1"/>
  <c r="BD47" i="15" s="1"/>
  <c r="BA38" i="15"/>
  <c r="M6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40" i="3"/>
  <c r="T43" i="3"/>
  <c r="T49" i="3"/>
  <c r="T52" i="3"/>
  <c r="T55" i="3"/>
  <c r="T58" i="3"/>
  <c r="T61" i="3"/>
  <c r="T64" i="3"/>
  <c r="T67" i="3"/>
  <c r="T72" i="3"/>
  <c r="T77" i="3"/>
  <c r="T82" i="3"/>
  <c r="T87" i="3"/>
  <c r="T92" i="3"/>
  <c r="T97" i="3"/>
  <c r="T102" i="3"/>
  <c r="T107" i="3"/>
  <c r="T112" i="3"/>
  <c r="T117" i="3"/>
  <c r="T122" i="3"/>
  <c r="T127" i="3"/>
  <c r="T132" i="3"/>
  <c r="T137" i="3"/>
  <c r="T142" i="3"/>
  <c r="T147" i="3"/>
  <c r="T152" i="3"/>
  <c r="T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40" i="3"/>
  <c r="P43" i="3"/>
  <c r="P49" i="3"/>
  <c r="P52" i="3"/>
  <c r="P55" i="3"/>
  <c r="P58" i="3"/>
  <c r="P61" i="3"/>
  <c r="P64" i="3"/>
  <c r="P67" i="3"/>
  <c r="P72" i="3"/>
  <c r="P77" i="3"/>
  <c r="P82" i="3"/>
  <c r="P87" i="3"/>
  <c r="P92" i="3"/>
  <c r="P97" i="3"/>
  <c r="P102" i="3"/>
  <c r="P107" i="3"/>
  <c r="P112" i="3"/>
  <c r="P117" i="3"/>
  <c r="P122" i="3"/>
  <c r="P127" i="3"/>
  <c r="P132" i="3"/>
  <c r="P137" i="3"/>
  <c r="P142" i="3"/>
  <c r="P147" i="3"/>
  <c r="P152" i="3"/>
  <c r="P7" i="3"/>
  <c r="O7" i="3"/>
  <c r="N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40" i="3"/>
  <c r="L43" i="3"/>
  <c r="L49" i="3"/>
  <c r="L52" i="3"/>
  <c r="L55" i="3"/>
  <c r="L58" i="3"/>
  <c r="L61" i="3"/>
  <c r="L64" i="3"/>
  <c r="L67" i="3"/>
  <c r="L72" i="3"/>
  <c r="L77" i="3"/>
  <c r="L82" i="3"/>
  <c r="L87" i="3"/>
  <c r="L92" i="3"/>
  <c r="L97" i="3"/>
  <c r="L102" i="3"/>
  <c r="L107" i="3"/>
  <c r="L112" i="3"/>
  <c r="L117" i="3"/>
  <c r="L122" i="3"/>
  <c r="L127" i="3"/>
  <c r="L132" i="3"/>
  <c r="L137" i="3"/>
  <c r="L142" i="3"/>
  <c r="L147" i="3"/>
  <c r="L152" i="3"/>
  <c r="L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40" i="3"/>
  <c r="K43" i="3"/>
  <c r="K49" i="3"/>
  <c r="K52" i="3"/>
  <c r="K55" i="3"/>
  <c r="K58" i="3"/>
  <c r="K61" i="3"/>
  <c r="K64" i="3"/>
  <c r="K67" i="3"/>
  <c r="K72" i="3"/>
  <c r="K77" i="3"/>
  <c r="K82" i="3"/>
  <c r="K87" i="3"/>
  <c r="K92" i="3"/>
  <c r="K97" i="3"/>
  <c r="K102" i="3"/>
  <c r="K107" i="3"/>
  <c r="K112" i="3"/>
  <c r="K117" i="3"/>
  <c r="K122" i="3"/>
  <c r="K127" i="3"/>
  <c r="K132" i="3"/>
  <c r="K137" i="3"/>
  <c r="K142" i="3"/>
  <c r="K147" i="3"/>
  <c r="K152" i="3"/>
  <c r="K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40" i="3"/>
  <c r="J43" i="3"/>
  <c r="J49" i="3"/>
  <c r="J52" i="3"/>
  <c r="J55" i="3"/>
  <c r="J58" i="3"/>
  <c r="J61" i="3"/>
  <c r="J64" i="3"/>
  <c r="J67" i="3"/>
  <c r="J72" i="3"/>
  <c r="J77" i="3"/>
  <c r="J82" i="3"/>
  <c r="J87" i="3"/>
  <c r="J92" i="3"/>
  <c r="J97" i="3"/>
  <c r="J102" i="3"/>
  <c r="J107" i="3"/>
  <c r="J112" i="3"/>
  <c r="J117" i="3"/>
  <c r="J122" i="3"/>
  <c r="J127" i="3"/>
  <c r="J132" i="3"/>
  <c r="J137" i="3"/>
  <c r="J142" i="3"/>
  <c r="J147" i="3"/>
  <c r="J152" i="3"/>
  <c r="J7" i="3"/>
  <c r="BP31" i="16" l="1"/>
  <c r="BP23" i="16"/>
  <c r="BP28" i="16"/>
  <c r="BP25" i="16"/>
  <c r="BP30" i="16"/>
  <c r="BP27" i="16"/>
  <c r="BP26" i="16"/>
  <c r="BP32" i="16"/>
  <c r="BP24" i="16"/>
  <c r="BP29" i="16"/>
  <c r="BP9" i="16"/>
  <c r="BP3" i="16"/>
  <c r="BP7" i="16"/>
  <c r="BP11" i="16"/>
  <c r="BP8" i="16"/>
  <c r="BP4" i="16"/>
  <c r="BP10" i="16"/>
  <c r="BP5" i="16"/>
  <c r="BP12" i="16"/>
  <c r="BP6" i="16"/>
  <c r="BP20" i="16"/>
  <c r="BP17" i="16"/>
  <c r="BP22" i="16"/>
  <c r="BP14" i="16"/>
  <c r="BP19" i="16"/>
  <c r="BP16" i="16"/>
  <c r="BP21" i="16"/>
  <c r="BP13" i="16"/>
  <c r="BP18" i="16"/>
  <c r="BP15" i="16"/>
  <c r="BP42" i="16"/>
  <c r="BP34" i="16"/>
  <c r="BP39" i="16"/>
  <c r="BP36" i="16"/>
  <c r="BP41" i="16"/>
  <c r="BP33" i="16"/>
  <c r="BP38" i="16"/>
  <c r="BP37" i="16"/>
  <c r="BP35" i="16"/>
  <c r="BP40" i="16"/>
  <c r="AV25" i="16"/>
  <c r="AV30" i="16"/>
  <c r="AV27" i="16"/>
  <c r="AV32" i="16"/>
  <c r="AV24" i="16"/>
  <c r="AV29" i="16"/>
  <c r="AV28" i="16"/>
  <c r="AV26" i="16"/>
  <c r="AV31" i="16"/>
  <c r="AV23" i="16"/>
  <c r="AV11" i="16"/>
  <c r="AV8" i="16"/>
  <c r="AV4" i="16"/>
  <c r="AV7" i="16"/>
  <c r="AV10" i="16"/>
  <c r="AV5" i="16"/>
  <c r="AV12" i="16"/>
  <c r="AV6" i="16"/>
  <c r="AV9" i="16"/>
  <c r="AV3" i="16"/>
  <c r="AV22" i="16"/>
  <c r="AV14" i="16"/>
  <c r="AV19" i="16"/>
  <c r="AV16" i="16"/>
  <c r="AV21" i="16"/>
  <c r="AV13" i="16"/>
  <c r="AV17" i="16"/>
  <c r="AV18" i="16"/>
  <c r="AV15" i="16"/>
  <c r="AV20" i="16"/>
  <c r="AV36" i="16"/>
  <c r="AV41" i="16"/>
  <c r="AV33" i="16"/>
  <c r="AV38" i="16"/>
  <c r="AV35" i="16"/>
  <c r="AV40" i="16"/>
  <c r="AV37" i="16"/>
  <c r="AV42" i="16"/>
  <c r="AV34" i="16"/>
  <c r="AV39" i="16"/>
  <c r="AB29" i="16"/>
  <c r="AB26" i="16"/>
  <c r="AB30" i="16"/>
  <c r="AB31" i="16"/>
  <c r="AB28" i="16"/>
  <c r="AB24" i="16"/>
  <c r="AB32" i="16"/>
  <c r="AB25" i="16"/>
  <c r="AB23" i="16"/>
  <c r="AB27" i="16"/>
  <c r="AB5" i="16"/>
  <c r="AB3" i="16"/>
  <c r="AB6" i="16"/>
  <c r="AB7" i="16"/>
  <c r="AB8" i="16"/>
  <c r="AB9" i="16"/>
  <c r="AB10" i="16"/>
  <c r="AB12" i="16"/>
  <c r="AB11" i="16"/>
  <c r="AB4" i="16"/>
  <c r="AB17" i="16"/>
  <c r="AB19" i="16"/>
  <c r="AB16" i="16"/>
  <c r="AB18" i="16"/>
  <c r="AB22" i="16"/>
  <c r="AB20" i="16"/>
  <c r="AB14" i="16"/>
  <c r="AB21" i="16"/>
  <c r="AB15" i="16"/>
  <c r="AB13" i="16"/>
  <c r="AB41" i="16"/>
  <c r="AB33" i="16"/>
  <c r="AB34" i="16"/>
  <c r="AB42" i="16"/>
  <c r="AB35" i="16"/>
  <c r="AB36" i="16"/>
  <c r="AB40" i="16"/>
  <c r="AB37" i="16"/>
  <c r="AB38" i="16"/>
  <c r="AB39" i="16"/>
  <c r="AP15" i="15"/>
  <c r="BE45" i="15"/>
  <c r="L15" i="15" l="1"/>
  <c r="L19" i="15"/>
  <c r="L23" i="15"/>
  <c r="L26" i="15"/>
  <c r="L39" i="15"/>
  <c r="L42" i="15"/>
  <c r="L51" i="15"/>
  <c r="L59" i="15"/>
  <c r="L67" i="15"/>
  <c r="L75" i="15"/>
  <c r="L83" i="15"/>
  <c r="L91" i="15"/>
  <c r="L33" i="15"/>
  <c r="L36" i="15"/>
  <c r="L54" i="15"/>
  <c r="L62" i="15"/>
  <c r="L70" i="15"/>
  <c r="L78" i="15"/>
  <c r="L86" i="15"/>
  <c r="L94" i="15"/>
  <c r="L16" i="15"/>
  <c r="L20" i="15"/>
  <c r="L27" i="15"/>
  <c r="L30" i="15"/>
  <c r="L43" i="15"/>
  <c r="L46" i="15"/>
  <c r="L49" i="15"/>
  <c r="L57" i="15"/>
  <c r="L65" i="15"/>
  <c r="L73" i="15"/>
  <c r="L81" i="15"/>
  <c r="L89" i="15"/>
  <c r="L24" i="15"/>
  <c r="L37" i="15"/>
  <c r="L40" i="15"/>
  <c r="L52" i="15"/>
  <c r="L60" i="15"/>
  <c r="L68" i="15"/>
  <c r="L76" i="15"/>
  <c r="L84" i="15"/>
  <c r="L92" i="15"/>
  <c r="L97" i="15"/>
  <c r="L99" i="15"/>
  <c r="L101" i="15"/>
  <c r="L103" i="15"/>
  <c r="L105" i="15"/>
  <c r="L107" i="15"/>
  <c r="L109" i="15"/>
  <c r="L111" i="15"/>
  <c r="L113" i="15"/>
  <c r="L115" i="15"/>
  <c r="L117" i="15"/>
  <c r="L119" i="15"/>
  <c r="L121" i="15"/>
  <c r="L123" i="15"/>
  <c r="L12" i="15"/>
  <c r="L13" i="15"/>
  <c r="L17" i="15"/>
  <c r="L21" i="15"/>
  <c r="L31" i="15"/>
  <c r="L34" i="15"/>
  <c r="L47" i="15"/>
  <c r="L55" i="15"/>
  <c r="L63" i="15"/>
  <c r="L71" i="15"/>
  <c r="L79" i="15"/>
  <c r="L87" i="15"/>
  <c r="L95" i="15"/>
  <c r="L25" i="15"/>
  <c r="L28" i="15"/>
  <c r="L41" i="15"/>
  <c r="L44" i="15"/>
  <c r="L50" i="15"/>
  <c r="L58" i="15"/>
  <c r="L66" i="15"/>
  <c r="L74" i="15"/>
  <c r="L82" i="15"/>
  <c r="L90" i="15"/>
  <c r="L104" i="15"/>
  <c r="L112" i="15"/>
  <c r="L114" i="15"/>
  <c r="L116" i="15"/>
  <c r="L118" i="15"/>
  <c r="L120" i="15"/>
  <c r="L124" i="15"/>
  <c r="L126" i="15"/>
  <c r="L128" i="15"/>
  <c r="L130" i="15"/>
  <c r="L132" i="15"/>
  <c r="L134" i="15"/>
  <c r="L136" i="15"/>
  <c r="L138" i="15"/>
  <c r="L140" i="15"/>
  <c r="L142" i="15"/>
  <c r="L144" i="15"/>
  <c r="L146" i="15"/>
  <c r="L148" i="15"/>
  <c r="L150" i="15"/>
  <c r="L152" i="15"/>
  <c r="L154" i="15"/>
  <c r="L156" i="15"/>
  <c r="L158" i="15"/>
  <c r="L160" i="15"/>
  <c r="L29" i="15"/>
  <c r="L14" i="15"/>
  <c r="L38" i="15"/>
  <c r="L48" i="15"/>
  <c r="L53" i="15"/>
  <c r="L64" i="15"/>
  <c r="L69" i="15"/>
  <c r="L80" i="15"/>
  <c r="L85" i="15"/>
  <c r="L96" i="15"/>
  <c r="L102" i="15"/>
  <c r="L110" i="15"/>
  <c r="L122" i="15"/>
  <c r="L18" i="15"/>
  <c r="L22" i="15"/>
  <c r="L32" i="15"/>
  <c r="L100" i="15"/>
  <c r="L108" i="15"/>
  <c r="L125" i="15"/>
  <c r="L127" i="15"/>
  <c r="L129" i="15"/>
  <c r="L131" i="15"/>
  <c r="L133" i="15"/>
  <c r="L135" i="15"/>
  <c r="L137" i="15"/>
  <c r="L139" i="15"/>
  <c r="L141" i="15"/>
  <c r="L143" i="15"/>
  <c r="L145" i="15"/>
  <c r="L147" i="15"/>
  <c r="L149" i="15"/>
  <c r="L151" i="15"/>
  <c r="L153" i="15"/>
  <c r="L155" i="15"/>
  <c r="L157" i="15"/>
  <c r="L159" i="15"/>
  <c r="L56" i="15"/>
  <c r="L61" i="15"/>
  <c r="L72" i="15"/>
  <c r="L77" i="15"/>
  <c r="L88" i="15"/>
  <c r="L93" i="15"/>
  <c r="L106" i="15"/>
  <c r="L35" i="15"/>
  <c r="L45" i="15"/>
  <c r="L98" i="15"/>
  <c r="L11" i="15"/>
  <c r="BI13" i="15" l="1"/>
  <c r="BI12" i="15"/>
  <c r="BE6" i="15"/>
  <c r="BA29" i="15"/>
  <c r="BB29" i="15" s="1"/>
  <c r="BD29" i="15" s="1"/>
  <c r="BC30" i="15" s="1"/>
  <c r="R26" i="12"/>
  <c r="R27" i="12"/>
  <c r="R28" i="12"/>
  <c r="R29" i="12"/>
  <c r="R30" i="12"/>
  <c r="R31" i="12"/>
  <c r="R32" i="12"/>
  <c r="R33" i="12"/>
  <c r="R25" i="12"/>
  <c r="P44" i="12"/>
  <c r="P34" i="12"/>
  <c r="P24" i="12"/>
  <c r="P14" i="12"/>
  <c r="P4" i="12"/>
  <c r="P36" i="12"/>
  <c r="P37" i="12"/>
  <c r="P38" i="12"/>
  <c r="P39" i="12"/>
  <c r="P40" i="12"/>
  <c r="P41" i="12"/>
  <c r="P42" i="12"/>
  <c r="P43" i="12"/>
  <c r="P35" i="12"/>
  <c r="P26" i="12"/>
  <c r="P27" i="12"/>
  <c r="P28" i="12"/>
  <c r="P29" i="12"/>
  <c r="P30" i="12"/>
  <c r="P31" i="12"/>
  <c r="P32" i="12"/>
  <c r="P33" i="12"/>
  <c r="P25" i="12"/>
  <c r="P16" i="12"/>
  <c r="P17" i="12"/>
  <c r="P18" i="12"/>
  <c r="P19" i="12"/>
  <c r="P20" i="12"/>
  <c r="P21" i="12"/>
  <c r="P22" i="12"/>
  <c r="P23" i="12"/>
  <c r="P15" i="12"/>
  <c r="P6" i="12"/>
  <c r="P7" i="12"/>
  <c r="P8" i="12"/>
  <c r="P9" i="12"/>
  <c r="P10" i="12"/>
  <c r="P11" i="12"/>
  <c r="P12" i="12"/>
  <c r="P13" i="12"/>
  <c r="P5" i="12"/>
  <c r="R4" i="12"/>
  <c r="Q48" i="12"/>
  <c r="S36" i="12"/>
  <c r="S37" i="12"/>
  <c r="Q37" i="12" s="1"/>
  <c r="R37" i="12" s="1"/>
  <c r="S38" i="12"/>
  <c r="S39" i="12"/>
  <c r="Q39" i="12" s="1"/>
  <c r="R39" i="12" s="1"/>
  <c r="S40" i="12"/>
  <c r="Q40" i="12" s="1"/>
  <c r="R40" i="12" s="1"/>
  <c r="S41" i="12"/>
  <c r="S42" i="12"/>
  <c r="S43" i="12"/>
  <c r="Q43" i="12" s="1"/>
  <c r="R43" i="12" s="1"/>
  <c r="S35" i="12"/>
  <c r="Q35" i="12" s="1"/>
  <c r="Q36" i="12"/>
  <c r="R36" i="12" s="1"/>
  <c r="Q38" i="12"/>
  <c r="R38" i="12" s="1"/>
  <c r="Q41" i="12"/>
  <c r="R41" i="12" s="1"/>
  <c r="Q42" i="12"/>
  <c r="R42" i="12" s="1"/>
  <c r="S26" i="12"/>
  <c r="S27" i="12"/>
  <c r="Q27" i="12" s="1"/>
  <c r="S28" i="12"/>
  <c r="S29" i="12"/>
  <c r="Q29" i="12" s="1"/>
  <c r="S30" i="12"/>
  <c r="S31" i="12"/>
  <c r="Q31" i="12" s="1"/>
  <c r="S32" i="12"/>
  <c r="S33" i="12"/>
  <c r="S25" i="12"/>
  <c r="Q25" i="12" s="1"/>
  <c r="Q26" i="12"/>
  <c r="Q28" i="12"/>
  <c r="Q30" i="12"/>
  <c r="Q32" i="12"/>
  <c r="Q33" i="12"/>
  <c r="S6" i="12"/>
  <c r="S7" i="12"/>
  <c r="S8" i="12"/>
  <c r="S9" i="12"/>
  <c r="S10" i="12"/>
  <c r="S11" i="12"/>
  <c r="S12" i="12"/>
  <c r="S13" i="12"/>
  <c r="S5" i="12"/>
  <c r="Q5" i="12" s="1"/>
  <c r="R5" i="12" s="1"/>
  <c r="S16" i="12"/>
  <c r="S17" i="12"/>
  <c r="S18" i="12"/>
  <c r="S19" i="12"/>
  <c r="S20" i="12"/>
  <c r="S21" i="12"/>
  <c r="Q21" i="12" s="1"/>
  <c r="S22" i="12"/>
  <c r="S23" i="12"/>
  <c r="Q23" i="12" s="1"/>
  <c r="S15" i="12"/>
  <c r="Q15" i="12" s="1"/>
  <c r="Q16" i="12"/>
  <c r="Q17" i="12"/>
  <c r="Q18" i="12"/>
  <c r="Q19" i="12"/>
  <c r="Q20" i="12"/>
  <c r="Q22" i="12"/>
  <c r="B12" i="12" l="1"/>
  <c r="I2" i="12"/>
  <c r="J2" i="12"/>
  <c r="K2" i="12"/>
  <c r="L2" i="12"/>
  <c r="M2" i="12"/>
  <c r="I3" i="12"/>
  <c r="J3" i="12"/>
  <c r="K3" i="12"/>
  <c r="L3" i="12"/>
  <c r="M3" i="12"/>
  <c r="I4" i="12"/>
  <c r="J4" i="12"/>
  <c r="K4" i="12"/>
  <c r="L4" i="12"/>
  <c r="M4" i="12"/>
  <c r="I5" i="12"/>
  <c r="J5" i="12"/>
  <c r="K5" i="12"/>
  <c r="L5" i="12"/>
  <c r="M5" i="12"/>
  <c r="I6" i="12"/>
  <c r="J6" i="12"/>
  <c r="K6" i="12"/>
  <c r="L6" i="12"/>
  <c r="M6" i="12"/>
  <c r="H6" i="12"/>
  <c r="H5" i="12"/>
  <c r="H4" i="12"/>
  <c r="H3" i="12"/>
  <c r="H2" i="12"/>
  <c r="H10" i="12"/>
  <c r="I10" i="12"/>
  <c r="K10" i="12"/>
  <c r="L10" i="12"/>
  <c r="M10" i="12"/>
  <c r="J10" i="12"/>
  <c r="J379" i="12"/>
  <c r="J11" i="12"/>
  <c r="J13" i="12" s="1"/>
  <c r="BA15" i="15"/>
  <c r="AS48" i="15"/>
  <c r="AS43" i="15"/>
  <c r="O451" i="16"/>
  <c r="P451" i="16" s="1"/>
  <c r="O432" i="16"/>
  <c r="P432" i="16" s="1"/>
  <c r="O422" i="16"/>
  <c r="P422" i="16" s="1"/>
  <c r="O409" i="16"/>
  <c r="P409" i="16" s="1"/>
  <c r="O400" i="16"/>
  <c r="P400" i="16" s="1"/>
  <c r="O387" i="16"/>
  <c r="O376" i="16"/>
  <c r="P376" i="16" s="1"/>
  <c r="O363" i="16"/>
  <c r="O353" i="16"/>
  <c r="P353" i="16" s="1"/>
  <c r="O340" i="16"/>
  <c r="O330" i="16"/>
  <c r="P330" i="16" s="1"/>
  <c r="O317" i="16"/>
  <c r="O307" i="16"/>
  <c r="P307" i="16" s="1"/>
  <c r="O294" i="16"/>
  <c r="O284" i="16"/>
  <c r="O272" i="16"/>
  <c r="P272" i="16" s="1"/>
  <c r="O261" i="16"/>
  <c r="P261" i="16" s="1"/>
  <c r="O248" i="16"/>
  <c r="P248" i="16" s="1"/>
  <c r="O238" i="16"/>
  <c r="P238" i="16" s="1"/>
  <c r="O225" i="16"/>
  <c r="P225" i="16" s="1"/>
  <c r="O215" i="16"/>
  <c r="O178" i="16"/>
  <c r="O165" i="16"/>
  <c r="O202" i="16"/>
  <c r="O192" i="16"/>
  <c r="P192" i="16" s="1"/>
  <c r="O156" i="16"/>
  <c r="O142" i="16"/>
  <c r="P142" i="16" s="1"/>
  <c r="O132" i="16"/>
  <c r="P132" i="16" s="1"/>
  <c r="O119" i="16"/>
  <c r="P119" i="16" s="1"/>
  <c r="O109" i="16"/>
  <c r="P109" i="16" s="1"/>
  <c r="O96" i="16"/>
  <c r="P96" i="16" s="1"/>
  <c r="O86" i="16"/>
  <c r="P86" i="16" s="1"/>
  <c r="O73" i="16"/>
  <c r="P73" i="16" s="1"/>
  <c r="O63" i="16"/>
  <c r="P63" i="16" s="1"/>
  <c r="J444" i="16"/>
  <c r="K444" i="16" s="1"/>
  <c r="J424" i="16"/>
  <c r="K424" i="16" s="1"/>
  <c r="J409" i="16"/>
  <c r="K409" i="16" s="1"/>
  <c r="J395" i="16"/>
  <c r="K395" i="16" s="1"/>
  <c r="J380" i="16"/>
  <c r="K380" i="16" s="1"/>
  <c r="J364" i="16"/>
  <c r="K364" i="16" s="1"/>
  <c r="J349" i="16"/>
  <c r="K349" i="16" s="1"/>
  <c r="J334" i="16"/>
  <c r="K334" i="16" s="1"/>
  <c r="J319" i="16"/>
  <c r="K319" i="16" s="1"/>
  <c r="J304" i="16"/>
  <c r="K304" i="16" s="1"/>
  <c r="J289" i="16"/>
  <c r="K289" i="16" s="1"/>
  <c r="J274" i="16"/>
  <c r="K274" i="16" s="1"/>
  <c r="J259" i="16"/>
  <c r="K259" i="16" s="1"/>
  <c r="J244" i="16"/>
  <c r="J229" i="16"/>
  <c r="K229" i="16" s="1"/>
  <c r="J214" i="16"/>
  <c r="K214" i="16" s="1"/>
  <c r="J199" i="16"/>
  <c r="K199" i="16" s="1"/>
  <c r="J184" i="16"/>
  <c r="K184" i="16" s="1"/>
  <c r="J169" i="16"/>
  <c r="K169" i="16" s="1"/>
  <c r="J155" i="16"/>
  <c r="K155" i="16" s="1"/>
  <c r="J139" i="16"/>
  <c r="K139" i="16" s="1"/>
  <c r="J124" i="16"/>
  <c r="K124" i="16" s="1"/>
  <c r="J109" i="16"/>
  <c r="K109" i="16" s="1"/>
  <c r="J94" i="16"/>
  <c r="J79" i="16"/>
  <c r="K79" i="16" s="1"/>
  <c r="J64" i="16"/>
  <c r="K64" i="16" s="1"/>
  <c r="F422" i="16"/>
  <c r="F400" i="16"/>
  <c r="F378" i="16"/>
  <c r="F356" i="16"/>
  <c r="F334" i="16"/>
  <c r="F312" i="16"/>
  <c r="F290" i="16"/>
  <c r="F268" i="16"/>
  <c r="F246" i="16"/>
  <c r="F224" i="16"/>
  <c r="F203" i="16"/>
  <c r="F180" i="16"/>
  <c r="F158" i="16"/>
  <c r="G158" i="16" s="1"/>
  <c r="F136" i="16"/>
  <c r="F114" i="16"/>
  <c r="F92" i="16"/>
  <c r="F70" i="16"/>
  <c r="G70" i="16" s="1"/>
  <c r="AL443" i="16"/>
  <c r="AM443" i="16" s="1"/>
  <c r="AL422" i="16"/>
  <c r="AL407" i="16"/>
  <c r="AL392" i="16"/>
  <c r="AL372" i="16"/>
  <c r="AL357" i="16"/>
  <c r="AM357" i="16" s="1"/>
  <c r="AL342" i="16"/>
  <c r="AM342" i="16" s="1"/>
  <c r="AL327" i="16"/>
  <c r="AL312" i="16"/>
  <c r="AL297" i="16"/>
  <c r="AM297" i="16" s="1"/>
  <c r="AL282" i="16"/>
  <c r="AL267" i="16"/>
  <c r="AM267" i="16" s="1"/>
  <c r="AL251" i="16"/>
  <c r="AM251" i="16" s="1"/>
  <c r="AL236" i="16"/>
  <c r="AL221" i="16"/>
  <c r="AL206" i="16"/>
  <c r="AL189" i="16"/>
  <c r="AL174" i="16"/>
  <c r="AL159" i="16"/>
  <c r="AM159" i="16" s="1"/>
  <c r="AL141" i="16"/>
  <c r="AL126" i="16"/>
  <c r="AL111" i="16"/>
  <c r="AL96" i="16"/>
  <c r="AL81" i="16"/>
  <c r="AM81" i="16" s="1"/>
  <c r="AL66" i="16"/>
  <c r="AH439" i="16"/>
  <c r="AH424" i="16"/>
  <c r="AH405" i="16"/>
  <c r="AH388" i="16"/>
  <c r="AH367" i="16"/>
  <c r="AH350" i="16"/>
  <c r="AH330" i="16"/>
  <c r="AH313" i="16"/>
  <c r="AH293" i="16"/>
  <c r="AH276" i="16"/>
  <c r="AH256" i="16"/>
  <c r="AH239" i="16"/>
  <c r="AH219" i="16"/>
  <c r="AH198" i="16"/>
  <c r="AH181" i="16"/>
  <c r="AH161" i="16"/>
  <c r="AH144" i="16"/>
  <c r="AI144" i="16" s="1"/>
  <c r="AH107" i="16"/>
  <c r="AI107" i="16" s="1"/>
  <c r="AH87" i="16"/>
  <c r="AH70" i="16"/>
  <c r="AD434" i="16"/>
  <c r="AD414" i="16"/>
  <c r="AD391" i="16"/>
  <c r="AD363" i="16"/>
  <c r="AD340" i="16"/>
  <c r="AD317" i="16"/>
  <c r="AD290" i="16"/>
  <c r="AD267" i="16"/>
  <c r="AD244" i="16"/>
  <c r="AD217" i="16"/>
  <c r="AD194" i="16"/>
  <c r="AD171" i="16"/>
  <c r="AD149" i="16"/>
  <c r="AD122" i="16"/>
  <c r="AD99" i="16"/>
  <c r="AD76" i="16"/>
  <c r="Z150" i="16"/>
  <c r="Z118" i="16"/>
  <c r="Z85" i="16"/>
  <c r="Z429" i="16"/>
  <c r="Z401" i="16"/>
  <c r="Z366" i="16"/>
  <c r="AA335" i="16"/>
  <c r="Z330" i="16"/>
  <c r="AA299" i="16"/>
  <c r="Z294" i="16"/>
  <c r="AA263" i="16"/>
  <c r="Z257" i="16"/>
  <c r="AA227" i="16"/>
  <c r="AA191" i="16"/>
  <c r="Z222" i="16"/>
  <c r="Z185" i="16"/>
  <c r="AA119" i="16"/>
  <c r="AA90" i="16"/>
  <c r="AA54" i="16"/>
  <c r="AA371" i="16"/>
  <c r="AA407" i="16"/>
  <c r="W407" i="16"/>
  <c r="W119" i="16"/>
  <c r="W371" i="16"/>
  <c r="W335" i="16"/>
  <c r="W299" i="16"/>
  <c r="W263" i="16"/>
  <c r="W227" i="16"/>
  <c r="W191" i="16"/>
  <c r="W155" i="16"/>
  <c r="W90" i="16"/>
  <c r="W54" i="16"/>
  <c r="F436" i="16"/>
  <c r="G436" i="16" s="1"/>
  <c r="AH124" i="16"/>
  <c r="AU43" i="15" l="1"/>
  <c r="AX43" i="15" s="1"/>
  <c r="AY43" i="15" s="1"/>
  <c r="E12" i="15" s="1"/>
  <c r="AU48" i="15"/>
  <c r="BD15" i="15"/>
  <c r="H1" i="12"/>
  <c r="L1" i="12"/>
  <c r="M7" i="12"/>
  <c r="Q44" i="12" s="1"/>
  <c r="R44" i="12" s="1"/>
  <c r="J7" i="12"/>
  <c r="I7" i="12"/>
  <c r="K1" i="12"/>
  <c r="I1" i="12"/>
  <c r="M1" i="12"/>
  <c r="K7" i="12"/>
  <c r="Q24" i="12" s="1"/>
  <c r="L7" i="12"/>
  <c r="Q34" i="12" s="1"/>
  <c r="J1" i="12"/>
  <c r="D5" i="12" s="1"/>
  <c r="E5" i="12" s="1"/>
  <c r="J8" i="12"/>
  <c r="H7" i="12"/>
  <c r="P387" i="16"/>
  <c r="P363" i="16"/>
  <c r="P340" i="16"/>
  <c r="P317" i="16"/>
  <c r="P294" i="16"/>
  <c r="P202" i="16"/>
  <c r="AM372" i="16"/>
  <c r="AM282" i="16"/>
  <c r="E127" i="15" l="1"/>
  <c r="E34" i="15"/>
  <c r="E24" i="15"/>
  <c r="E86" i="15"/>
  <c r="E61" i="15"/>
  <c r="E159" i="15"/>
  <c r="E141" i="15"/>
  <c r="E125" i="15"/>
  <c r="E74" i="15"/>
  <c r="E115" i="15"/>
  <c r="E142" i="15"/>
  <c r="E126" i="15"/>
  <c r="E158" i="15"/>
  <c r="E111" i="15"/>
  <c r="E92" i="15"/>
  <c r="E60" i="15"/>
  <c r="E46" i="15"/>
  <c r="E83" i="15"/>
  <c r="E51" i="15"/>
  <c r="E29" i="15"/>
  <c r="E108" i="15"/>
  <c r="E88" i="15"/>
  <c r="E56" i="15"/>
  <c r="E160" i="15"/>
  <c r="E157" i="15"/>
  <c r="E139" i="15"/>
  <c r="E122" i="15"/>
  <c r="E58" i="15"/>
  <c r="E113" i="15"/>
  <c r="E140" i="15"/>
  <c r="E124" i="15"/>
  <c r="E154" i="15"/>
  <c r="E109" i="15"/>
  <c r="E89" i="15"/>
  <c r="E57" i="15"/>
  <c r="E33" i="15"/>
  <c r="E78" i="15"/>
  <c r="E39" i="15"/>
  <c r="E26" i="15"/>
  <c r="E106" i="15"/>
  <c r="E85" i="15"/>
  <c r="E53" i="15"/>
  <c r="E90" i="15"/>
  <c r="E97" i="15"/>
  <c r="E54" i="15"/>
  <c r="E41" i="15"/>
  <c r="E153" i="15"/>
  <c r="E137" i="15"/>
  <c r="E95" i="15"/>
  <c r="E38" i="15"/>
  <c r="E121" i="15"/>
  <c r="E138" i="15"/>
  <c r="E87" i="15"/>
  <c r="E150" i="15"/>
  <c r="E107" i="15"/>
  <c r="E84" i="15"/>
  <c r="E52" i="15"/>
  <c r="E30" i="15"/>
  <c r="E75" i="15"/>
  <c r="E36" i="15"/>
  <c r="E120" i="15"/>
  <c r="E104" i="15"/>
  <c r="E80" i="15"/>
  <c r="E48" i="15"/>
  <c r="E31" i="15"/>
  <c r="E151" i="15"/>
  <c r="E135" i="15"/>
  <c r="E79" i="15"/>
  <c r="E14" i="15"/>
  <c r="E156" i="15"/>
  <c r="E136" i="15"/>
  <c r="E71" i="15"/>
  <c r="E82" i="15"/>
  <c r="E105" i="15"/>
  <c r="E81" i="15"/>
  <c r="E49" i="15"/>
  <c r="E20" i="15"/>
  <c r="E70" i="15"/>
  <c r="E23" i="15"/>
  <c r="E118" i="15"/>
  <c r="E102" i="15"/>
  <c r="E77" i="15"/>
  <c r="E35" i="15"/>
  <c r="E143" i="15"/>
  <c r="E128" i="15"/>
  <c r="E93" i="15"/>
  <c r="E21" i="15"/>
  <c r="E149" i="15"/>
  <c r="E133" i="15"/>
  <c r="E63" i="15"/>
  <c r="E155" i="15"/>
  <c r="E152" i="15"/>
  <c r="E134" i="15"/>
  <c r="E55" i="15"/>
  <c r="E66" i="15"/>
  <c r="E103" i="15"/>
  <c r="E76" i="15"/>
  <c r="E43" i="15"/>
  <c r="E16" i="15"/>
  <c r="E67" i="15"/>
  <c r="E19" i="15"/>
  <c r="E116" i="15"/>
  <c r="E100" i="15"/>
  <c r="E72" i="15"/>
  <c r="E32" i="15"/>
  <c r="E17" i="15"/>
  <c r="E144" i="15"/>
  <c r="E42" i="15"/>
  <c r="E123" i="15"/>
  <c r="E147" i="15"/>
  <c r="E131" i="15"/>
  <c r="E47" i="15"/>
  <c r="E28" i="15"/>
  <c r="E148" i="15"/>
  <c r="E132" i="15"/>
  <c r="E44" i="15"/>
  <c r="E50" i="15"/>
  <c r="E101" i="15"/>
  <c r="E73" i="15"/>
  <c r="E40" i="15"/>
  <c r="E94" i="15"/>
  <c r="E62" i="15"/>
  <c r="E15" i="15"/>
  <c r="E114" i="15"/>
  <c r="E98" i="15"/>
  <c r="E69" i="15"/>
  <c r="E13" i="15"/>
  <c r="E117" i="15"/>
  <c r="E65" i="15"/>
  <c r="E110" i="15"/>
  <c r="E22" i="15"/>
  <c r="E145" i="15"/>
  <c r="E129" i="15"/>
  <c r="E18" i="15"/>
  <c r="E119" i="15"/>
  <c r="E146" i="15"/>
  <c r="E130" i="15"/>
  <c r="E25" i="15"/>
  <c r="E37" i="15"/>
  <c r="E99" i="15"/>
  <c r="E68" i="15"/>
  <c r="E27" i="15"/>
  <c r="E91" i="15"/>
  <c r="E59" i="15"/>
  <c r="E45" i="15"/>
  <c r="E112" i="15"/>
  <c r="E96" i="15"/>
  <c r="E64" i="15"/>
  <c r="AV48" i="15"/>
  <c r="AX48" i="15"/>
  <c r="AY48" i="15" s="1"/>
  <c r="AV43" i="15"/>
  <c r="AV22" i="15"/>
  <c r="AV15" i="15"/>
  <c r="Q14" i="12"/>
  <c r="R34" i="12"/>
  <c r="R24" i="12"/>
  <c r="Q4" i="12"/>
  <c r="H8" i="12"/>
  <c r="K8" i="12"/>
  <c r="M8" i="12"/>
  <c r="I8" i="12"/>
  <c r="L8" i="12"/>
  <c r="AM174" i="16"/>
  <c r="AM96" i="16"/>
  <c r="G180" i="16"/>
  <c r="AI439" i="16"/>
  <c r="AI124" i="16"/>
  <c r="AE434" i="16"/>
  <c r="AE149" i="16"/>
  <c r="AE122" i="16"/>
  <c r="AE99" i="16"/>
  <c r="AA429" i="16"/>
  <c r="AA401" i="16"/>
  <c r="AA366" i="16"/>
  <c r="AA330" i="16"/>
  <c r="AA257" i="16"/>
  <c r="AA222" i="16"/>
  <c r="AA185" i="16"/>
  <c r="AA155" i="16"/>
  <c r="AA150" i="16"/>
  <c r="AA118" i="16"/>
  <c r="V429" i="16"/>
  <c r="W429" i="16" s="1"/>
  <c r="V401" i="16"/>
  <c r="W401" i="16" s="1"/>
  <c r="V366" i="16"/>
  <c r="W366" i="16" s="1"/>
  <c r="V330" i="16"/>
  <c r="W330" i="16" s="1"/>
  <c r="V294" i="16"/>
  <c r="W294" i="16" s="1"/>
  <c r="V257" i="16"/>
  <c r="W257" i="16" s="1"/>
  <c r="V222" i="16"/>
  <c r="W222" i="16" s="1"/>
  <c r="V185" i="16"/>
  <c r="W185" i="16" s="1"/>
  <c r="V150" i="16"/>
  <c r="W150" i="16" s="1"/>
  <c r="V118" i="16"/>
  <c r="W118" i="16" s="1"/>
  <c r="B401" i="16"/>
  <c r="C401" i="16" s="1"/>
  <c r="B429" i="16"/>
  <c r="C429" i="16" s="1"/>
  <c r="B330" i="16"/>
  <c r="B294" i="16"/>
  <c r="B257" i="16"/>
  <c r="B222" i="16"/>
  <c r="B185" i="16"/>
  <c r="B150" i="16"/>
  <c r="B118" i="16"/>
  <c r="C407" i="16"/>
  <c r="C371" i="16"/>
  <c r="C335" i="16"/>
  <c r="C299" i="16"/>
  <c r="C263" i="16"/>
  <c r="C191" i="16"/>
  <c r="C155" i="16"/>
  <c r="C119" i="16"/>
  <c r="C90" i="16"/>
  <c r="R119" i="16"/>
  <c r="R140" i="16"/>
  <c r="R97" i="16"/>
  <c r="R114" i="16" s="1"/>
  <c r="M97" i="16"/>
  <c r="C227" i="16"/>
  <c r="R398" i="16"/>
  <c r="R335" i="16"/>
  <c r="R240" i="16"/>
  <c r="R177" i="16"/>
  <c r="B366" i="16"/>
  <c r="B85" i="16"/>
  <c r="C85" i="16" s="1"/>
  <c r="V85" i="16"/>
  <c r="W85" i="16" s="1"/>
  <c r="AA85" i="16"/>
  <c r="K94" i="16"/>
  <c r="R430" i="16"/>
  <c r="S430" i="16" s="1"/>
  <c r="R367" i="16"/>
  <c r="S367" i="16" s="1"/>
  <c r="R272" i="16"/>
  <c r="S272" i="16" s="1"/>
  <c r="R209" i="16"/>
  <c r="S209" i="16" s="1"/>
  <c r="R85" i="16"/>
  <c r="S85" i="16" s="1"/>
  <c r="F17" i="15" l="1"/>
  <c r="F33" i="15"/>
  <c r="F49" i="15"/>
  <c r="F65" i="15"/>
  <c r="F81" i="15"/>
  <c r="F12" i="15"/>
  <c r="F64" i="15"/>
  <c r="F104" i="15"/>
  <c r="F120" i="15"/>
  <c r="F78" i="15"/>
  <c r="F40" i="15"/>
  <c r="F99" i="15"/>
  <c r="F115" i="15"/>
  <c r="F82" i="15"/>
  <c r="F130" i="15"/>
  <c r="F146" i="15"/>
  <c r="F125" i="15"/>
  <c r="F141" i="15"/>
  <c r="F157" i="15"/>
  <c r="F127" i="15"/>
  <c r="F159" i="15"/>
  <c r="F15" i="15"/>
  <c r="F56" i="15"/>
  <c r="F113" i="15"/>
  <c r="F155" i="15"/>
  <c r="F19" i="15"/>
  <c r="F35" i="15"/>
  <c r="F51" i="15"/>
  <c r="F67" i="15"/>
  <c r="F83" i="15"/>
  <c r="F14" i="15"/>
  <c r="F72" i="15"/>
  <c r="F106" i="15"/>
  <c r="F122" i="15"/>
  <c r="F86" i="15"/>
  <c r="F52" i="15"/>
  <c r="F101" i="15"/>
  <c r="F117" i="15"/>
  <c r="F150" i="15"/>
  <c r="F132" i="15"/>
  <c r="F148" i="15"/>
  <c r="F143" i="15"/>
  <c r="F123" i="15"/>
  <c r="F95" i="15"/>
  <c r="F97" i="15"/>
  <c r="F139" i="15"/>
  <c r="F21" i="15"/>
  <c r="F37" i="15"/>
  <c r="F53" i="15"/>
  <c r="F69" i="15"/>
  <c r="F85" i="15"/>
  <c r="F18" i="15"/>
  <c r="F80" i="15"/>
  <c r="F108" i="15"/>
  <c r="F26" i="15"/>
  <c r="F94" i="15"/>
  <c r="F60" i="15"/>
  <c r="F103" i="15"/>
  <c r="F119" i="15"/>
  <c r="F156" i="15"/>
  <c r="F134" i="15"/>
  <c r="F154" i="15"/>
  <c r="F129" i="15"/>
  <c r="F145" i="15"/>
  <c r="F79" i="15"/>
  <c r="F24" i="15"/>
  <c r="F90" i="15"/>
  <c r="F23" i="15"/>
  <c r="F39" i="15"/>
  <c r="F55" i="15"/>
  <c r="F71" i="15"/>
  <c r="F87" i="15"/>
  <c r="F22" i="15"/>
  <c r="F88" i="15"/>
  <c r="F110" i="15"/>
  <c r="F42" i="15"/>
  <c r="F16" i="15"/>
  <c r="F68" i="15"/>
  <c r="F105" i="15"/>
  <c r="F121" i="15"/>
  <c r="F34" i="15"/>
  <c r="F136" i="15"/>
  <c r="F160" i="15"/>
  <c r="F131" i="15"/>
  <c r="F147" i="15"/>
  <c r="F25" i="15"/>
  <c r="F41" i="15"/>
  <c r="F57" i="15"/>
  <c r="F73" i="15"/>
  <c r="F89" i="15"/>
  <c r="F38" i="15"/>
  <c r="F96" i="15"/>
  <c r="F112" i="15"/>
  <c r="F36" i="15"/>
  <c r="F20" i="15"/>
  <c r="F76" i="15"/>
  <c r="F107" i="15"/>
  <c r="F152" i="15"/>
  <c r="F44" i="15"/>
  <c r="F138" i="15"/>
  <c r="F28" i="15"/>
  <c r="F133" i="15"/>
  <c r="F149" i="15"/>
  <c r="F63" i="15"/>
  <c r="F70" i="15"/>
  <c r="F144" i="15"/>
  <c r="F11" i="15"/>
  <c r="F27" i="15"/>
  <c r="F43" i="15"/>
  <c r="F59" i="15"/>
  <c r="F75" i="15"/>
  <c r="F91" i="15"/>
  <c r="F32" i="15"/>
  <c r="F98" i="15"/>
  <c r="F114" i="15"/>
  <c r="F54" i="15"/>
  <c r="F30" i="15"/>
  <c r="F84" i="15"/>
  <c r="F109" i="15"/>
  <c r="F158" i="15"/>
  <c r="F124" i="15"/>
  <c r="F140" i="15"/>
  <c r="F58" i="15"/>
  <c r="F135" i="15"/>
  <c r="F151" i="15"/>
  <c r="F31" i="15"/>
  <c r="F118" i="15"/>
  <c r="F128" i="15"/>
  <c r="F13" i="15"/>
  <c r="F29" i="15"/>
  <c r="F45" i="15"/>
  <c r="F61" i="15"/>
  <c r="F77" i="15"/>
  <c r="F93" i="15"/>
  <c r="F48" i="15"/>
  <c r="F100" i="15"/>
  <c r="F116" i="15"/>
  <c r="F62" i="15"/>
  <c r="F46" i="15"/>
  <c r="F92" i="15"/>
  <c r="F111" i="15"/>
  <c r="F50" i="15"/>
  <c r="F126" i="15"/>
  <c r="F142" i="15"/>
  <c r="F74" i="15"/>
  <c r="F137" i="15"/>
  <c r="F153" i="15"/>
  <c r="F47" i="15"/>
  <c r="F102" i="15"/>
  <c r="F66" i="15"/>
  <c r="V47" i="16"/>
  <c r="W4" i="16" s="1"/>
  <c r="E11" i="15"/>
  <c r="Q8" i="12"/>
  <c r="R8" i="12" s="1"/>
  <c r="Q10" i="12"/>
  <c r="R10" i="12" s="1"/>
  <c r="Q11" i="12"/>
  <c r="R11" i="12" s="1"/>
  <c r="Q12" i="12"/>
  <c r="R12" i="12" s="1"/>
  <c r="R35" i="12"/>
  <c r="Q6" i="12"/>
  <c r="R6" i="12" s="1"/>
  <c r="Q7" i="12"/>
  <c r="R7" i="12" s="1"/>
  <c r="Q13" i="12"/>
  <c r="R13" i="12" s="1"/>
  <c r="Q9" i="12"/>
  <c r="R9" i="12" s="1"/>
  <c r="R21" i="12"/>
  <c r="R22" i="12"/>
  <c r="R23" i="12"/>
  <c r="R20" i="12"/>
  <c r="R16" i="12"/>
  <c r="R17" i="12"/>
  <c r="R18" i="12"/>
  <c r="R19" i="12"/>
  <c r="R14" i="12"/>
  <c r="AM189" i="16"/>
  <c r="AM111" i="16"/>
  <c r="AM126" i="16"/>
  <c r="G203" i="16"/>
  <c r="R146" i="16"/>
  <c r="S146" i="16" s="1"/>
  <c r="AI276" i="16"/>
  <c r="AA294" i="16"/>
  <c r="C150" i="16"/>
  <c r="C366" i="16"/>
  <c r="C118" i="16"/>
  <c r="S240" i="16"/>
  <c r="R304" i="16"/>
  <c r="S335" i="16" s="1"/>
  <c r="S114" i="16"/>
  <c r="S177" i="16"/>
  <c r="S398" i="16"/>
  <c r="BQ3" i="16" l="1"/>
  <c r="AC3" i="16"/>
  <c r="Z47" i="16"/>
  <c r="W5" i="16" s="1"/>
  <c r="R15" i="12"/>
  <c r="AM206" i="16"/>
  <c r="G246" i="16"/>
  <c r="C222" i="16"/>
  <c r="C185" i="16"/>
  <c r="S304" i="16"/>
  <c r="R47" i="16" s="1"/>
  <c r="C8" i="16" s="1"/>
  <c r="I43" i="16" s="1"/>
  <c r="BH38" i="15"/>
  <c r="BH37" i="15"/>
  <c r="BH36" i="15"/>
  <c r="BH35" i="15"/>
  <c r="BH34" i="15"/>
  <c r="I11" i="15"/>
  <c r="BE29" i="15"/>
  <c r="J11" i="15"/>
  <c r="M29" i="15" l="1"/>
  <c r="M32" i="15"/>
  <c r="M45" i="15"/>
  <c r="M48" i="15"/>
  <c r="M56" i="15"/>
  <c r="M64" i="15"/>
  <c r="M72" i="15"/>
  <c r="M80" i="15"/>
  <c r="M88" i="15"/>
  <c r="M96" i="15"/>
  <c r="M98" i="15"/>
  <c r="M100" i="15"/>
  <c r="M102" i="15"/>
  <c r="M104" i="15"/>
  <c r="M106" i="15"/>
  <c r="M108" i="15"/>
  <c r="M110" i="15"/>
  <c r="M112" i="15"/>
  <c r="M114" i="15"/>
  <c r="M116" i="15"/>
  <c r="M118" i="15"/>
  <c r="M15" i="15"/>
  <c r="M19" i="15"/>
  <c r="M23" i="15"/>
  <c r="M26" i="15"/>
  <c r="M39" i="15"/>
  <c r="M42" i="15"/>
  <c r="M51" i="15"/>
  <c r="M59" i="15"/>
  <c r="M67" i="15"/>
  <c r="M75" i="15"/>
  <c r="M83" i="15"/>
  <c r="M91" i="15"/>
  <c r="M33" i="15"/>
  <c r="M36" i="15"/>
  <c r="M54" i="15"/>
  <c r="M62" i="15"/>
  <c r="M70" i="15"/>
  <c r="M78" i="15"/>
  <c r="M86" i="15"/>
  <c r="M94" i="15"/>
  <c r="M16" i="15"/>
  <c r="M20" i="15"/>
  <c r="M27" i="15"/>
  <c r="M30" i="15"/>
  <c r="M43" i="15"/>
  <c r="M46" i="15"/>
  <c r="M49" i="15"/>
  <c r="M57" i="15"/>
  <c r="M65" i="15"/>
  <c r="M73" i="15"/>
  <c r="M81" i="15"/>
  <c r="M89" i="15"/>
  <c r="M24" i="15"/>
  <c r="M37" i="15"/>
  <c r="M40" i="15"/>
  <c r="M52" i="15"/>
  <c r="M60" i="15"/>
  <c r="M68" i="15"/>
  <c r="M76" i="15"/>
  <c r="M84" i="15"/>
  <c r="M92" i="15"/>
  <c r="M97" i="15"/>
  <c r="M99" i="15"/>
  <c r="M101" i="15"/>
  <c r="M103" i="15"/>
  <c r="M105" i="15"/>
  <c r="M107" i="15"/>
  <c r="M109" i="15"/>
  <c r="M111" i="15"/>
  <c r="M12" i="15"/>
  <c r="M13" i="15"/>
  <c r="M17" i="15"/>
  <c r="M21" i="15"/>
  <c r="M31" i="15"/>
  <c r="M34" i="15"/>
  <c r="M47" i="15"/>
  <c r="M55" i="15"/>
  <c r="M63" i="15"/>
  <c r="M71" i="15"/>
  <c r="M79" i="15"/>
  <c r="M87" i="15"/>
  <c r="M95" i="15"/>
  <c r="M35" i="15"/>
  <c r="M44" i="15"/>
  <c r="M113" i="15"/>
  <c r="M115" i="15"/>
  <c r="M117" i="15"/>
  <c r="M119" i="15"/>
  <c r="M142" i="15"/>
  <c r="M146" i="15"/>
  <c r="M148" i="15"/>
  <c r="M152" i="15"/>
  <c r="M156" i="15"/>
  <c r="M120" i="15"/>
  <c r="M121" i="15"/>
  <c r="M124" i="15"/>
  <c r="M126" i="15"/>
  <c r="M128" i="15"/>
  <c r="M130" i="15"/>
  <c r="M132" i="15"/>
  <c r="M134" i="15"/>
  <c r="M136" i="15"/>
  <c r="M138" i="15"/>
  <c r="M140" i="15"/>
  <c r="M144" i="15"/>
  <c r="M150" i="15"/>
  <c r="M154" i="15"/>
  <c r="M158" i="15"/>
  <c r="M160" i="15"/>
  <c r="M28" i="15"/>
  <c r="M14" i="15"/>
  <c r="M38" i="15"/>
  <c r="M53" i="15"/>
  <c r="M58" i="15"/>
  <c r="M69" i="15"/>
  <c r="M74" i="15"/>
  <c r="M85" i="15"/>
  <c r="M90" i="15"/>
  <c r="M151" i="15"/>
  <c r="M153" i="15"/>
  <c r="M157" i="15"/>
  <c r="M159" i="15"/>
  <c r="M18" i="15"/>
  <c r="M122" i="15"/>
  <c r="M22" i="15"/>
  <c r="M41" i="15"/>
  <c r="M123" i="15"/>
  <c r="M125" i="15"/>
  <c r="M127" i="15"/>
  <c r="M129" i="15"/>
  <c r="M131" i="15"/>
  <c r="M133" i="15"/>
  <c r="M135" i="15"/>
  <c r="M137" i="15"/>
  <c r="M139" i="15"/>
  <c r="M141" i="15"/>
  <c r="M143" i="15"/>
  <c r="M145" i="15"/>
  <c r="M147" i="15"/>
  <c r="M149" i="15"/>
  <c r="M155" i="15"/>
  <c r="M25" i="15"/>
  <c r="M50" i="15"/>
  <c r="M61" i="15"/>
  <c r="M66" i="15"/>
  <c r="M77" i="15"/>
  <c r="M82" i="15"/>
  <c r="M93" i="15"/>
  <c r="BQ13" i="16"/>
  <c r="Y5" i="16"/>
  <c r="AA7" i="16" s="1"/>
  <c r="AC7" i="16" s="1"/>
  <c r="AC13" i="16"/>
  <c r="AW22" i="15"/>
  <c r="AX22" i="15" s="1"/>
  <c r="AA10" i="16"/>
  <c r="AC10" i="16" s="1"/>
  <c r="M11" i="15"/>
  <c r="G268" i="16"/>
  <c r="C257" i="16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40" i="3"/>
  <c r="S43" i="3"/>
  <c r="S49" i="3"/>
  <c r="S52" i="3"/>
  <c r="S55" i="3"/>
  <c r="S58" i="3"/>
  <c r="S61" i="3"/>
  <c r="S64" i="3"/>
  <c r="S67" i="3"/>
  <c r="S72" i="3"/>
  <c r="S77" i="3"/>
  <c r="S82" i="3"/>
  <c r="S87" i="3"/>
  <c r="S92" i="3"/>
  <c r="S97" i="3"/>
  <c r="S102" i="3"/>
  <c r="S107" i="3"/>
  <c r="S112" i="3"/>
  <c r="S117" i="3"/>
  <c r="S122" i="3"/>
  <c r="S127" i="3"/>
  <c r="S132" i="3"/>
  <c r="S137" i="3"/>
  <c r="S142" i="3"/>
  <c r="S147" i="3"/>
  <c r="S152" i="3"/>
  <c r="S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40" i="3"/>
  <c r="R43" i="3"/>
  <c r="R49" i="3"/>
  <c r="R52" i="3"/>
  <c r="R55" i="3"/>
  <c r="R58" i="3"/>
  <c r="R61" i="3"/>
  <c r="R64" i="3"/>
  <c r="R67" i="3"/>
  <c r="R72" i="3"/>
  <c r="R77" i="3"/>
  <c r="R82" i="3"/>
  <c r="R87" i="3"/>
  <c r="R92" i="3"/>
  <c r="R97" i="3"/>
  <c r="R102" i="3"/>
  <c r="R107" i="3"/>
  <c r="R112" i="3"/>
  <c r="R117" i="3"/>
  <c r="R122" i="3"/>
  <c r="R127" i="3"/>
  <c r="R132" i="3"/>
  <c r="R137" i="3"/>
  <c r="R142" i="3"/>
  <c r="R147" i="3"/>
  <c r="R152" i="3"/>
  <c r="R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40" i="3"/>
  <c r="O43" i="3"/>
  <c r="O49" i="3"/>
  <c r="O52" i="3"/>
  <c r="O55" i="3"/>
  <c r="O58" i="3"/>
  <c r="O61" i="3"/>
  <c r="O64" i="3"/>
  <c r="O67" i="3"/>
  <c r="O72" i="3"/>
  <c r="O77" i="3"/>
  <c r="O82" i="3"/>
  <c r="O87" i="3"/>
  <c r="O92" i="3"/>
  <c r="O97" i="3"/>
  <c r="O102" i="3"/>
  <c r="O107" i="3"/>
  <c r="O112" i="3"/>
  <c r="O117" i="3"/>
  <c r="O122" i="3"/>
  <c r="O127" i="3"/>
  <c r="O132" i="3"/>
  <c r="O137" i="3"/>
  <c r="O142" i="3"/>
  <c r="O147" i="3"/>
  <c r="O152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40" i="3"/>
  <c r="N43" i="3"/>
  <c r="N49" i="3"/>
  <c r="N52" i="3"/>
  <c r="N55" i="3"/>
  <c r="N58" i="3"/>
  <c r="N61" i="3"/>
  <c r="N64" i="3"/>
  <c r="N67" i="3"/>
  <c r="N72" i="3"/>
  <c r="N77" i="3"/>
  <c r="N82" i="3"/>
  <c r="N87" i="3"/>
  <c r="N92" i="3"/>
  <c r="N97" i="3"/>
  <c r="N102" i="3"/>
  <c r="N107" i="3"/>
  <c r="N112" i="3"/>
  <c r="N117" i="3"/>
  <c r="N122" i="3"/>
  <c r="N127" i="3"/>
  <c r="N132" i="3"/>
  <c r="N137" i="3"/>
  <c r="N142" i="3"/>
  <c r="N147" i="3"/>
  <c r="N152" i="3"/>
  <c r="CO26" i="15"/>
  <c r="CP26" i="15" s="1"/>
  <c r="CM26" i="15"/>
  <c r="CO25" i="15"/>
  <c r="CP25" i="15" s="1"/>
  <c r="CM25" i="15"/>
  <c r="CO24" i="15"/>
  <c r="CP24" i="15" s="1"/>
  <c r="CM24" i="15"/>
  <c r="CO23" i="15"/>
  <c r="CP23" i="15" s="1"/>
  <c r="CM23" i="15"/>
  <c r="CO22" i="15"/>
  <c r="CP22" i="15" s="1"/>
  <c r="CM22" i="15"/>
  <c r="CO17" i="15"/>
  <c r="CP17" i="15" s="1"/>
  <c r="CM17" i="15"/>
  <c r="CO16" i="15"/>
  <c r="CP16" i="15" s="1"/>
  <c r="CM16" i="15"/>
  <c r="CO15" i="15"/>
  <c r="CP15" i="15" s="1"/>
  <c r="CM15" i="15"/>
  <c r="CO14" i="15"/>
  <c r="CP14" i="15" s="1"/>
  <c r="CM14" i="15"/>
  <c r="CO13" i="15"/>
  <c r="CP13" i="15" s="1"/>
  <c r="CM13" i="15"/>
  <c r="CH23" i="15"/>
  <c r="CI23" i="15" s="1"/>
  <c r="CJ23" i="15" s="1"/>
  <c r="CH24" i="15"/>
  <c r="CI24" i="15" s="1"/>
  <c r="CJ24" i="15" s="1"/>
  <c r="CH25" i="15"/>
  <c r="CI25" i="15" s="1"/>
  <c r="CJ25" i="15" s="1"/>
  <c r="CH26" i="15"/>
  <c r="CI26" i="15" s="1"/>
  <c r="CJ26" i="15" s="1"/>
  <c r="CH22" i="15"/>
  <c r="CI22" i="15" s="1"/>
  <c r="CJ22" i="15" s="1"/>
  <c r="CI32" i="15"/>
  <c r="CJ32" i="15" s="1"/>
  <c r="CI33" i="15"/>
  <c r="CJ33" i="15" s="1"/>
  <c r="CI34" i="15"/>
  <c r="CJ34" i="15" s="1"/>
  <c r="CI35" i="15"/>
  <c r="CJ35" i="15" s="1"/>
  <c r="CI31" i="15"/>
  <c r="CJ31" i="15" s="1"/>
  <c r="CG35" i="15"/>
  <c r="CG34" i="15"/>
  <c r="CG33" i="15"/>
  <c r="CG32" i="15"/>
  <c r="CG31" i="15"/>
  <c r="CG26" i="15"/>
  <c r="CG25" i="15"/>
  <c r="CG24" i="15"/>
  <c r="CG23" i="15"/>
  <c r="CG22" i="15"/>
  <c r="CG17" i="15"/>
  <c r="CI17" i="15" s="1"/>
  <c r="CJ17" i="15" s="1"/>
  <c r="CG16" i="15"/>
  <c r="CI16" i="15" s="1"/>
  <c r="CJ16" i="15" s="1"/>
  <c r="CG15" i="15"/>
  <c r="CI15" i="15" s="1"/>
  <c r="CJ15" i="15" s="1"/>
  <c r="CG14" i="15"/>
  <c r="CI14" i="15" s="1"/>
  <c r="CJ14" i="15" s="1"/>
  <c r="CG13" i="15"/>
  <c r="CI13" i="15" s="1"/>
  <c r="CJ13" i="15" s="1"/>
  <c r="CB32" i="15"/>
  <c r="CC32" i="15" s="1"/>
  <c r="CD32" i="15" s="1"/>
  <c r="CB33" i="15"/>
  <c r="CC33" i="15" s="1"/>
  <c r="CB34" i="15"/>
  <c r="CC34" i="15" s="1"/>
  <c r="CD34" i="15" s="1"/>
  <c r="CB35" i="15"/>
  <c r="CC35" i="15" s="1"/>
  <c r="CB31" i="15"/>
  <c r="CC31" i="15" s="1"/>
  <c r="CA35" i="15"/>
  <c r="CA34" i="15"/>
  <c r="CA33" i="15"/>
  <c r="CA32" i="15"/>
  <c r="CA31" i="15"/>
  <c r="CB23" i="15"/>
  <c r="CC23" i="15" s="1"/>
  <c r="CB24" i="15"/>
  <c r="CC24" i="15" s="1"/>
  <c r="CD24" i="15" s="1"/>
  <c r="CB25" i="15"/>
  <c r="CC25" i="15" s="1"/>
  <c r="CD25" i="15" s="1"/>
  <c r="CB26" i="15"/>
  <c r="CC26" i="15" s="1"/>
  <c r="CB22" i="15"/>
  <c r="CC22" i="15" s="1"/>
  <c r="CD22" i="15" s="1"/>
  <c r="CA26" i="15"/>
  <c r="CA25" i="15"/>
  <c r="CA24" i="15"/>
  <c r="CA23" i="15"/>
  <c r="CA22" i="15"/>
  <c r="CC13" i="15"/>
  <c r="CD13" i="15" s="1"/>
  <c r="CC14" i="15"/>
  <c r="CD14" i="15" s="1"/>
  <c r="CC15" i="15"/>
  <c r="CD15" i="15" s="1"/>
  <c r="CC16" i="15"/>
  <c r="CD16" i="15" s="1"/>
  <c r="CC17" i="15"/>
  <c r="CD17" i="15" s="1"/>
  <c r="CA17" i="15"/>
  <c r="CA16" i="15"/>
  <c r="CA15" i="15"/>
  <c r="CA14" i="15"/>
  <c r="CA13" i="15"/>
  <c r="BW50" i="15"/>
  <c r="BX50" i="15" s="1"/>
  <c r="BW51" i="15"/>
  <c r="BX51" i="15" s="1"/>
  <c r="BW52" i="15"/>
  <c r="BX52" i="15" s="1"/>
  <c r="BW53" i="15"/>
  <c r="BX53" i="15" s="1"/>
  <c r="BW49" i="15"/>
  <c r="BX49" i="15" s="1"/>
  <c r="BW41" i="15"/>
  <c r="BX41" i="15" s="1"/>
  <c r="BW42" i="15"/>
  <c r="BX42" i="15" s="1"/>
  <c r="BW43" i="15"/>
  <c r="BX43" i="15" s="1"/>
  <c r="BW44" i="15"/>
  <c r="BX44" i="15" s="1"/>
  <c r="BW40" i="15"/>
  <c r="BX40" i="15" s="1"/>
  <c r="BU53" i="15"/>
  <c r="BU52" i="15"/>
  <c r="BU51" i="15"/>
  <c r="BU50" i="15"/>
  <c r="BU49" i="15"/>
  <c r="BU44" i="15"/>
  <c r="BU43" i="15"/>
  <c r="BU42" i="15"/>
  <c r="BU41" i="15"/>
  <c r="BU40" i="15"/>
  <c r="BU26" i="15"/>
  <c r="BW26" i="15" s="1"/>
  <c r="BX26" i="15" s="1"/>
  <c r="BU25" i="15"/>
  <c r="BW25" i="15" s="1"/>
  <c r="BX25" i="15" s="1"/>
  <c r="BU24" i="15"/>
  <c r="BW24" i="15" s="1"/>
  <c r="BX24" i="15" s="1"/>
  <c r="BU23" i="15"/>
  <c r="BW23" i="15" s="1"/>
  <c r="BX23" i="15" s="1"/>
  <c r="BU22" i="15"/>
  <c r="BW22" i="15" s="1"/>
  <c r="BX22" i="15" s="1"/>
  <c r="BU17" i="15"/>
  <c r="BW17" i="15" s="1"/>
  <c r="BX17" i="15" s="1"/>
  <c r="BU16" i="15"/>
  <c r="BW16" i="15" s="1"/>
  <c r="BX16" i="15" s="1"/>
  <c r="BU15" i="15"/>
  <c r="BW15" i="15" s="1"/>
  <c r="BX15" i="15" s="1"/>
  <c r="BU14" i="15"/>
  <c r="BW14" i="15" s="1"/>
  <c r="BX14" i="15" s="1"/>
  <c r="BU13" i="15"/>
  <c r="BW13" i="15" s="1"/>
  <c r="BX13" i="15" s="1"/>
  <c r="BQ50" i="15"/>
  <c r="BR50" i="15" s="1"/>
  <c r="BQ51" i="15"/>
  <c r="BR51" i="15" s="1"/>
  <c r="BQ52" i="15"/>
  <c r="BR52" i="15" s="1"/>
  <c r="BQ53" i="15"/>
  <c r="BR53" i="15" s="1"/>
  <c r="BQ49" i="15"/>
  <c r="BR49" i="15" s="1"/>
  <c r="BO53" i="15"/>
  <c r="BO52" i="15"/>
  <c r="BO51" i="15"/>
  <c r="BO50" i="15"/>
  <c r="BO49" i="15"/>
  <c r="BQ41" i="15"/>
  <c r="BR41" i="15" s="1"/>
  <c r="BQ42" i="15"/>
  <c r="BR42" i="15" s="1"/>
  <c r="BQ43" i="15"/>
  <c r="BR43" i="15" s="1"/>
  <c r="BQ44" i="15"/>
  <c r="BR44" i="15" s="1"/>
  <c r="BQ40" i="15"/>
  <c r="BR40" i="15" s="1"/>
  <c r="BO44" i="15"/>
  <c r="BO43" i="15"/>
  <c r="BO42" i="15"/>
  <c r="BO41" i="15"/>
  <c r="BO40" i="15"/>
  <c r="BO35" i="15"/>
  <c r="BQ35" i="15" s="1"/>
  <c r="BR35" i="15" s="1"/>
  <c r="BO34" i="15"/>
  <c r="BQ34" i="15" s="1"/>
  <c r="BR34" i="15" s="1"/>
  <c r="BO33" i="15"/>
  <c r="BQ33" i="15" s="1"/>
  <c r="BR33" i="15" s="1"/>
  <c r="BO32" i="15"/>
  <c r="BQ32" i="15" s="1"/>
  <c r="BR32" i="15" s="1"/>
  <c r="BO31" i="15"/>
  <c r="BQ31" i="15" s="1"/>
  <c r="BR31" i="15" s="1"/>
  <c r="BO26" i="15"/>
  <c r="BQ26" i="15" s="1"/>
  <c r="BR26" i="15" s="1"/>
  <c r="BO25" i="15"/>
  <c r="BQ25" i="15" s="1"/>
  <c r="BR25" i="15" s="1"/>
  <c r="BO24" i="15"/>
  <c r="BQ24" i="15" s="1"/>
  <c r="BR24" i="15" s="1"/>
  <c r="BO23" i="15"/>
  <c r="BQ23" i="15" s="1"/>
  <c r="BR23" i="15" s="1"/>
  <c r="BO22" i="15"/>
  <c r="BQ22" i="15" s="1"/>
  <c r="BR22" i="15" s="1"/>
  <c r="BO17" i="15"/>
  <c r="BQ17" i="15" s="1"/>
  <c r="BR17" i="15" s="1"/>
  <c r="BO16" i="15"/>
  <c r="BQ16" i="15" s="1"/>
  <c r="BR16" i="15" s="1"/>
  <c r="BO15" i="15"/>
  <c r="BQ15" i="15" s="1"/>
  <c r="BR15" i="15" s="1"/>
  <c r="BO14" i="15"/>
  <c r="BQ14" i="15" s="1"/>
  <c r="BR14" i="15" s="1"/>
  <c r="BO13" i="15"/>
  <c r="BQ13" i="15" s="1"/>
  <c r="BR13" i="15" s="1"/>
  <c r="BH28" i="15"/>
  <c r="BJ28" i="15" s="1"/>
  <c r="BH27" i="15"/>
  <c r="BJ27" i="15" s="1"/>
  <c r="BH26" i="15"/>
  <c r="BJ26" i="15" s="1"/>
  <c r="BH25" i="15"/>
  <c r="BJ25" i="15" s="1"/>
  <c r="BH24" i="15"/>
  <c r="BJ24" i="15" s="1"/>
  <c r="BI17" i="15"/>
  <c r="BI16" i="15"/>
  <c r="AE12" i="15"/>
  <c r="AC75" i="15"/>
  <c r="BB38" i="15"/>
  <c r="BB15" i="15"/>
  <c r="BC15" i="15" s="1"/>
  <c r="H11" i="15"/>
  <c r="AA5" i="16" l="1"/>
  <c r="AC5" i="16" s="1"/>
  <c r="BO12" i="16"/>
  <c r="BQ12" i="16" s="1"/>
  <c r="BO6" i="16"/>
  <c r="BQ6" i="16" s="1"/>
  <c r="BO9" i="16"/>
  <c r="BQ9" i="16" s="1"/>
  <c r="BO7" i="16"/>
  <c r="BQ7" i="16" s="1"/>
  <c r="BO11" i="16"/>
  <c r="BQ11" i="16" s="1"/>
  <c r="BO8" i="16"/>
  <c r="BQ8" i="16" s="1"/>
  <c r="BO4" i="16"/>
  <c r="BQ4" i="16" s="1"/>
  <c r="BO10" i="16"/>
  <c r="BQ10" i="16" s="1"/>
  <c r="BO5" i="16"/>
  <c r="BQ5" i="16" s="1"/>
  <c r="AA12" i="16"/>
  <c r="AC12" i="16" s="1"/>
  <c r="AA9" i="16"/>
  <c r="AC9" i="16" s="1"/>
  <c r="AA4" i="16"/>
  <c r="AC4" i="16" s="1"/>
  <c r="AA8" i="16"/>
  <c r="AC8" i="16" s="1"/>
  <c r="AA6" i="16"/>
  <c r="AC6" i="16" s="1"/>
  <c r="AA11" i="16"/>
  <c r="AC11" i="16" s="1"/>
  <c r="R155" i="15"/>
  <c r="R147" i="15"/>
  <c r="R139" i="15"/>
  <c r="R131" i="15"/>
  <c r="R123" i="15"/>
  <c r="R115" i="15"/>
  <c r="R107" i="15"/>
  <c r="R99" i="15"/>
  <c r="R91" i="15"/>
  <c r="R83" i="15"/>
  <c r="R75" i="15"/>
  <c r="R67" i="15"/>
  <c r="R59" i="15"/>
  <c r="R51" i="15"/>
  <c r="R43" i="15"/>
  <c r="R35" i="15"/>
  <c r="R27" i="15"/>
  <c r="R19" i="15"/>
  <c r="T159" i="15"/>
  <c r="T151" i="15"/>
  <c r="T143" i="15"/>
  <c r="T135" i="15"/>
  <c r="T127" i="15"/>
  <c r="T119" i="15"/>
  <c r="T111" i="15"/>
  <c r="T103" i="15"/>
  <c r="T95" i="15"/>
  <c r="T87" i="15"/>
  <c r="T79" i="15"/>
  <c r="T71" i="15"/>
  <c r="T63" i="15"/>
  <c r="T55" i="15"/>
  <c r="T47" i="15"/>
  <c r="T39" i="15"/>
  <c r="T31" i="15"/>
  <c r="T23" i="15"/>
  <c r="T15" i="15"/>
  <c r="Z157" i="15"/>
  <c r="Z149" i="15"/>
  <c r="Z141" i="15"/>
  <c r="Z133" i="15"/>
  <c r="Z125" i="15"/>
  <c r="Z117" i="15"/>
  <c r="Z109" i="15"/>
  <c r="Z101" i="15"/>
  <c r="Z93" i="15"/>
  <c r="Z85" i="15"/>
  <c r="Z77" i="15"/>
  <c r="Z69" i="15"/>
  <c r="Z61" i="15"/>
  <c r="Z53" i="15"/>
  <c r="Z45" i="15"/>
  <c r="Z37" i="15"/>
  <c r="Z29" i="15"/>
  <c r="Z21" i="15"/>
  <c r="Z13" i="15"/>
  <c r="V155" i="15"/>
  <c r="V147" i="15"/>
  <c r="V139" i="15"/>
  <c r="V131" i="15"/>
  <c r="V123" i="15"/>
  <c r="V115" i="15"/>
  <c r="V107" i="15"/>
  <c r="V99" i="15"/>
  <c r="V91" i="15"/>
  <c r="V83" i="15"/>
  <c r="V75" i="15"/>
  <c r="V67" i="15"/>
  <c r="V59" i="15"/>
  <c r="V51" i="15"/>
  <c r="V43" i="15"/>
  <c r="V35" i="15"/>
  <c r="V27" i="15"/>
  <c r="V19" i="15"/>
  <c r="AB11" i="15"/>
  <c r="AB153" i="15"/>
  <c r="AB145" i="15"/>
  <c r="AB137" i="15"/>
  <c r="AB129" i="15"/>
  <c r="AB121" i="15"/>
  <c r="AB113" i="15"/>
  <c r="AB105" i="15"/>
  <c r="AB97" i="15"/>
  <c r="AB89" i="15"/>
  <c r="AB81" i="15"/>
  <c r="AB73" i="15"/>
  <c r="AB65" i="15"/>
  <c r="AB57" i="15"/>
  <c r="AB49" i="15"/>
  <c r="AB41" i="15"/>
  <c r="AB33" i="15"/>
  <c r="AB25" i="15"/>
  <c r="AB17" i="15"/>
  <c r="R154" i="15"/>
  <c r="R146" i="15"/>
  <c r="R138" i="15"/>
  <c r="R130" i="15"/>
  <c r="R122" i="15"/>
  <c r="R114" i="15"/>
  <c r="R106" i="15"/>
  <c r="R98" i="15"/>
  <c r="R90" i="15"/>
  <c r="R82" i="15"/>
  <c r="R74" i="15"/>
  <c r="R66" i="15"/>
  <c r="R58" i="15"/>
  <c r="R50" i="15"/>
  <c r="R42" i="15"/>
  <c r="R34" i="15"/>
  <c r="R26" i="15"/>
  <c r="R18" i="15"/>
  <c r="T158" i="15"/>
  <c r="T150" i="15"/>
  <c r="T142" i="15"/>
  <c r="T134" i="15"/>
  <c r="T126" i="15"/>
  <c r="T118" i="15"/>
  <c r="T110" i="15"/>
  <c r="T102" i="15"/>
  <c r="T94" i="15"/>
  <c r="T86" i="15"/>
  <c r="T78" i="15"/>
  <c r="T70" i="15"/>
  <c r="T62" i="15"/>
  <c r="T54" i="15"/>
  <c r="T46" i="15"/>
  <c r="T38" i="15"/>
  <c r="T30" i="15"/>
  <c r="T22" i="15"/>
  <c r="T14" i="15"/>
  <c r="Z156" i="15"/>
  <c r="Z148" i="15"/>
  <c r="Z140" i="15"/>
  <c r="Z132" i="15"/>
  <c r="Z124" i="15"/>
  <c r="Z116" i="15"/>
  <c r="Z108" i="15"/>
  <c r="Z100" i="15"/>
  <c r="Z92" i="15"/>
  <c r="Z84" i="15"/>
  <c r="Z76" i="15"/>
  <c r="Z68" i="15"/>
  <c r="Z60" i="15"/>
  <c r="Z52" i="15"/>
  <c r="Z44" i="15"/>
  <c r="Z36" i="15"/>
  <c r="Z28" i="15"/>
  <c r="Z20" i="15"/>
  <c r="Z12" i="15"/>
  <c r="V154" i="15"/>
  <c r="V146" i="15"/>
  <c r="V138" i="15"/>
  <c r="V130" i="15"/>
  <c r="V122" i="15"/>
  <c r="V114" i="15"/>
  <c r="V106" i="15"/>
  <c r="V98" i="15"/>
  <c r="V90" i="15"/>
  <c r="V82" i="15"/>
  <c r="V74" i="15"/>
  <c r="V66" i="15"/>
  <c r="V58" i="15"/>
  <c r="V50" i="15"/>
  <c r="V42" i="15"/>
  <c r="V34" i="15"/>
  <c r="V26" i="15"/>
  <c r="V18" i="15"/>
  <c r="AB160" i="15"/>
  <c r="AB152" i="15"/>
  <c r="AB144" i="15"/>
  <c r="AB136" i="15"/>
  <c r="AB128" i="15"/>
  <c r="AB120" i="15"/>
  <c r="AB112" i="15"/>
  <c r="AB104" i="15"/>
  <c r="AB96" i="15"/>
  <c r="AB88" i="15"/>
  <c r="AB80" i="15"/>
  <c r="AB72" i="15"/>
  <c r="AB64" i="15"/>
  <c r="AB56" i="15"/>
  <c r="AB48" i="15"/>
  <c r="AB40" i="15"/>
  <c r="AB32" i="15"/>
  <c r="AB24" i="15"/>
  <c r="AB16" i="15"/>
  <c r="R153" i="15"/>
  <c r="R145" i="15"/>
  <c r="R137" i="15"/>
  <c r="R129" i="15"/>
  <c r="R121" i="15"/>
  <c r="R113" i="15"/>
  <c r="R105" i="15"/>
  <c r="R97" i="15"/>
  <c r="R89" i="15"/>
  <c r="R81" i="15"/>
  <c r="R73" i="15"/>
  <c r="R65" i="15"/>
  <c r="R57" i="15"/>
  <c r="R49" i="15"/>
  <c r="R41" i="15"/>
  <c r="R33" i="15"/>
  <c r="R25" i="15"/>
  <c r="R17" i="15"/>
  <c r="T157" i="15"/>
  <c r="T149" i="15"/>
  <c r="T141" i="15"/>
  <c r="T133" i="15"/>
  <c r="T125" i="15"/>
  <c r="T117" i="15"/>
  <c r="T109" i="15"/>
  <c r="T101" i="15"/>
  <c r="T93" i="15"/>
  <c r="T85" i="15"/>
  <c r="T77" i="15"/>
  <c r="T69" i="15"/>
  <c r="T61" i="15"/>
  <c r="T53" i="15"/>
  <c r="T45" i="15"/>
  <c r="T37" i="15"/>
  <c r="T29" i="15"/>
  <c r="T21" i="15"/>
  <c r="T13" i="15"/>
  <c r="Z155" i="15"/>
  <c r="Z147" i="15"/>
  <c r="Z139" i="15"/>
  <c r="Z131" i="15"/>
  <c r="Z123" i="15"/>
  <c r="Z115" i="15"/>
  <c r="Z107" i="15"/>
  <c r="Z99" i="15"/>
  <c r="Z91" i="15"/>
  <c r="Z83" i="15"/>
  <c r="Z75" i="15"/>
  <c r="Z67" i="15"/>
  <c r="Z59" i="15"/>
  <c r="Z51" i="15"/>
  <c r="Z43" i="15"/>
  <c r="Z35" i="15"/>
  <c r="Z27" i="15"/>
  <c r="Z19" i="15"/>
  <c r="V11" i="15"/>
  <c r="V153" i="15"/>
  <c r="V145" i="15"/>
  <c r="V137" i="15"/>
  <c r="V129" i="15"/>
  <c r="V121" i="15"/>
  <c r="V113" i="15"/>
  <c r="V105" i="15"/>
  <c r="V97" i="15"/>
  <c r="V89" i="15"/>
  <c r="V81" i="15"/>
  <c r="V73" i="15"/>
  <c r="V65" i="15"/>
  <c r="V57" i="15"/>
  <c r="V49" i="15"/>
  <c r="V41" i="15"/>
  <c r="V33" i="15"/>
  <c r="V25" i="15"/>
  <c r="V17" i="15"/>
  <c r="AB159" i="15"/>
  <c r="AB151" i="15"/>
  <c r="AB143" i="15"/>
  <c r="AB135" i="15"/>
  <c r="AB127" i="15"/>
  <c r="AB119" i="15"/>
  <c r="AB111" i="15"/>
  <c r="AB103" i="15"/>
  <c r="AB95" i="15"/>
  <c r="AB87" i="15"/>
  <c r="AB79" i="15"/>
  <c r="AB71" i="15"/>
  <c r="AB63" i="15"/>
  <c r="AB55" i="15"/>
  <c r="AB47" i="15"/>
  <c r="AB39" i="15"/>
  <c r="AB31" i="15"/>
  <c r="AB23" i="15"/>
  <c r="AB15" i="15"/>
  <c r="R160" i="15"/>
  <c r="R152" i="15"/>
  <c r="R144" i="15"/>
  <c r="R136" i="15"/>
  <c r="R128" i="15"/>
  <c r="R120" i="15"/>
  <c r="R112" i="15"/>
  <c r="R104" i="15"/>
  <c r="R96" i="15"/>
  <c r="R88" i="15"/>
  <c r="R80" i="15"/>
  <c r="R72" i="15"/>
  <c r="R64" i="15"/>
  <c r="R56" i="15"/>
  <c r="R48" i="15"/>
  <c r="R40" i="15"/>
  <c r="R32" i="15"/>
  <c r="R24" i="15"/>
  <c r="R16" i="15"/>
  <c r="T156" i="15"/>
  <c r="T148" i="15"/>
  <c r="T140" i="15"/>
  <c r="T132" i="15"/>
  <c r="T124" i="15"/>
  <c r="T116" i="15"/>
  <c r="T108" i="15"/>
  <c r="T100" i="15"/>
  <c r="T92" i="15"/>
  <c r="T84" i="15"/>
  <c r="T76" i="15"/>
  <c r="T68" i="15"/>
  <c r="T60" i="15"/>
  <c r="T52" i="15"/>
  <c r="T44" i="15"/>
  <c r="T36" i="15"/>
  <c r="T28" i="15"/>
  <c r="T20" i="15"/>
  <c r="T12" i="15"/>
  <c r="Z154" i="15"/>
  <c r="Z146" i="15"/>
  <c r="Z138" i="15"/>
  <c r="Z130" i="15"/>
  <c r="Z122" i="15"/>
  <c r="Z114" i="15"/>
  <c r="Z106" i="15"/>
  <c r="Z98" i="15"/>
  <c r="Z90" i="15"/>
  <c r="Z82" i="15"/>
  <c r="Z74" i="15"/>
  <c r="Z66" i="15"/>
  <c r="Z58" i="15"/>
  <c r="Z50" i="15"/>
  <c r="Z42" i="15"/>
  <c r="Z34" i="15"/>
  <c r="Z26" i="15"/>
  <c r="Z18" i="15"/>
  <c r="V160" i="15"/>
  <c r="V152" i="15"/>
  <c r="V144" i="15"/>
  <c r="V136" i="15"/>
  <c r="V128" i="15"/>
  <c r="V120" i="15"/>
  <c r="V112" i="15"/>
  <c r="V104" i="15"/>
  <c r="V96" i="15"/>
  <c r="V88" i="15"/>
  <c r="V80" i="15"/>
  <c r="V72" i="15"/>
  <c r="V64" i="15"/>
  <c r="V56" i="15"/>
  <c r="V48" i="15"/>
  <c r="V40" i="15"/>
  <c r="V32" i="15"/>
  <c r="V24" i="15"/>
  <c r="V16" i="15"/>
  <c r="AB158" i="15"/>
  <c r="AB150" i="15"/>
  <c r="AB142" i="15"/>
  <c r="AB134" i="15"/>
  <c r="AB126" i="15"/>
  <c r="AB118" i="15"/>
  <c r="AB110" i="15"/>
  <c r="AB102" i="15"/>
  <c r="AB94" i="15"/>
  <c r="AB86" i="15"/>
  <c r="AB78" i="15"/>
  <c r="AB70" i="15"/>
  <c r="AB62" i="15"/>
  <c r="AB54" i="15"/>
  <c r="AB46" i="15"/>
  <c r="AB38" i="15"/>
  <c r="AB30" i="15"/>
  <c r="AB22" i="15"/>
  <c r="AB14" i="15"/>
  <c r="R159" i="15"/>
  <c r="R151" i="15"/>
  <c r="R143" i="15"/>
  <c r="R135" i="15"/>
  <c r="R127" i="15"/>
  <c r="R119" i="15"/>
  <c r="R111" i="15"/>
  <c r="R103" i="15"/>
  <c r="R95" i="15"/>
  <c r="R87" i="15"/>
  <c r="R79" i="15"/>
  <c r="R71" i="15"/>
  <c r="R63" i="15"/>
  <c r="R55" i="15"/>
  <c r="R47" i="15"/>
  <c r="R39" i="15"/>
  <c r="R31" i="15"/>
  <c r="R23" i="15"/>
  <c r="R15" i="15"/>
  <c r="T155" i="15"/>
  <c r="T147" i="15"/>
  <c r="T139" i="15"/>
  <c r="T131" i="15"/>
  <c r="T123" i="15"/>
  <c r="T115" i="15"/>
  <c r="T107" i="15"/>
  <c r="T99" i="15"/>
  <c r="T91" i="15"/>
  <c r="T83" i="15"/>
  <c r="T75" i="15"/>
  <c r="T67" i="15"/>
  <c r="T59" i="15"/>
  <c r="T51" i="15"/>
  <c r="T43" i="15"/>
  <c r="T35" i="15"/>
  <c r="T27" i="15"/>
  <c r="T19" i="15"/>
  <c r="Z11" i="15"/>
  <c r="Z153" i="15"/>
  <c r="Z145" i="15"/>
  <c r="Z137" i="15"/>
  <c r="Z129" i="15"/>
  <c r="Z121" i="15"/>
  <c r="Z113" i="15"/>
  <c r="Z105" i="15"/>
  <c r="Z97" i="15"/>
  <c r="Z89" i="15"/>
  <c r="Z81" i="15"/>
  <c r="Z73" i="15"/>
  <c r="Z65" i="15"/>
  <c r="Z57" i="15"/>
  <c r="Z49" i="15"/>
  <c r="Z41" i="15"/>
  <c r="Z33" i="15"/>
  <c r="Z25" i="15"/>
  <c r="Z17" i="15"/>
  <c r="V159" i="15"/>
  <c r="V151" i="15"/>
  <c r="V143" i="15"/>
  <c r="V135" i="15"/>
  <c r="V127" i="15"/>
  <c r="V119" i="15"/>
  <c r="V111" i="15"/>
  <c r="V103" i="15"/>
  <c r="V95" i="15"/>
  <c r="V87" i="15"/>
  <c r="V79" i="15"/>
  <c r="V71" i="15"/>
  <c r="V63" i="15"/>
  <c r="V55" i="15"/>
  <c r="V47" i="15"/>
  <c r="V39" i="15"/>
  <c r="V31" i="15"/>
  <c r="V23" i="15"/>
  <c r="V15" i="15"/>
  <c r="AB157" i="15"/>
  <c r="AB149" i="15"/>
  <c r="AB141" i="15"/>
  <c r="AB133" i="15"/>
  <c r="AB125" i="15"/>
  <c r="AB117" i="15"/>
  <c r="AB109" i="15"/>
  <c r="AB101" i="15"/>
  <c r="AB93" i="15"/>
  <c r="AB85" i="15"/>
  <c r="AB77" i="15"/>
  <c r="AB69" i="15"/>
  <c r="AB61" i="15"/>
  <c r="AB53" i="15"/>
  <c r="AB45" i="15"/>
  <c r="AB37" i="15"/>
  <c r="AB29" i="15"/>
  <c r="AB21" i="15"/>
  <c r="AB13" i="15"/>
  <c r="R158" i="15"/>
  <c r="R150" i="15"/>
  <c r="R142" i="15"/>
  <c r="R134" i="15"/>
  <c r="R126" i="15"/>
  <c r="R118" i="15"/>
  <c r="R110" i="15"/>
  <c r="R102" i="15"/>
  <c r="R94" i="15"/>
  <c r="R86" i="15"/>
  <c r="R78" i="15"/>
  <c r="R70" i="15"/>
  <c r="R62" i="15"/>
  <c r="R54" i="15"/>
  <c r="R46" i="15"/>
  <c r="R38" i="15"/>
  <c r="R30" i="15"/>
  <c r="R22" i="15"/>
  <c r="R14" i="15"/>
  <c r="T154" i="15"/>
  <c r="T146" i="15"/>
  <c r="T138" i="15"/>
  <c r="T130" i="15"/>
  <c r="T122" i="15"/>
  <c r="T114" i="15"/>
  <c r="T106" i="15"/>
  <c r="T98" i="15"/>
  <c r="T90" i="15"/>
  <c r="T82" i="15"/>
  <c r="T74" i="15"/>
  <c r="T66" i="15"/>
  <c r="T58" i="15"/>
  <c r="T50" i="15"/>
  <c r="T42" i="15"/>
  <c r="T34" i="15"/>
  <c r="T26" i="15"/>
  <c r="T18" i="15"/>
  <c r="Z160" i="15"/>
  <c r="Z152" i="15"/>
  <c r="Z144" i="15"/>
  <c r="Z136" i="15"/>
  <c r="Z128" i="15"/>
  <c r="Z120" i="15"/>
  <c r="Z112" i="15"/>
  <c r="Z104" i="15"/>
  <c r="Z96" i="15"/>
  <c r="Z88" i="15"/>
  <c r="Z80" i="15"/>
  <c r="Z72" i="15"/>
  <c r="Z64" i="15"/>
  <c r="Z56" i="15"/>
  <c r="Z48" i="15"/>
  <c r="Z40" i="15"/>
  <c r="Z32" i="15"/>
  <c r="Z24" i="15"/>
  <c r="Z16" i="15"/>
  <c r="V158" i="15"/>
  <c r="V150" i="15"/>
  <c r="V142" i="15"/>
  <c r="V134" i="15"/>
  <c r="V126" i="15"/>
  <c r="V118" i="15"/>
  <c r="V110" i="15"/>
  <c r="V102" i="15"/>
  <c r="V94" i="15"/>
  <c r="V86" i="15"/>
  <c r="V78" i="15"/>
  <c r="V70" i="15"/>
  <c r="V62" i="15"/>
  <c r="V54" i="15"/>
  <c r="V46" i="15"/>
  <c r="V38" i="15"/>
  <c r="V30" i="15"/>
  <c r="V22" i="15"/>
  <c r="V14" i="15"/>
  <c r="AB156" i="15"/>
  <c r="AB148" i="15"/>
  <c r="AB140" i="15"/>
  <c r="AB132" i="15"/>
  <c r="AB124" i="15"/>
  <c r="AB116" i="15"/>
  <c r="AB108" i="15"/>
  <c r="AB100" i="15"/>
  <c r="AB92" i="15"/>
  <c r="AB84" i="15"/>
  <c r="AB76" i="15"/>
  <c r="AB68" i="15"/>
  <c r="AB60" i="15"/>
  <c r="AB52" i="15"/>
  <c r="AB44" i="15"/>
  <c r="AB36" i="15"/>
  <c r="AB28" i="15"/>
  <c r="AB20" i="15"/>
  <c r="AB12" i="15"/>
  <c r="R157" i="15"/>
  <c r="R149" i="15"/>
  <c r="R141" i="15"/>
  <c r="R133" i="15"/>
  <c r="R125" i="15"/>
  <c r="R117" i="15"/>
  <c r="R109" i="15"/>
  <c r="R101" i="15"/>
  <c r="R93" i="15"/>
  <c r="R85" i="15"/>
  <c r="R77" i="15"/>
  <c r="R69" i="15"/>
  <c r="R61" i="15"/>
  <c r="R53" i="15"/>
  <c r="R45" i="15"/>
  <c r="R37" i="15"/>
  <c r="R29" i="15"/>
  <c r="R21" i="15"/>
  <c r="R13" i="15"/>
  <c r="T11" i="15"/>
  <c r="T153" i="15"/>
  <c r="T145" i="15"/>
  <c r="T137" i="15"/>
  <c r="T129" i="15"/>
  <c r="T121" i="15"/>
  <c r="T113" i="15"/>
  <c r="T105" i="15"/>
  <c r="T97" i="15"/>
  <c r="T89" i="15"/>
  <c r="T81" i="15"/>
  <c r="T73" i="15"/>
  <c r="T65" i="15"/>
  <c r="T57" i="15"/>
  <c r="T49" i="15"/>
  <c r="T41" i="15"/>
  <c r="T33" i="15"/>
  <c r="T25" i="15"/>
  <c r="T17" i="15"/>
  <c r="Z159" i="15"/>
  <c r="Z151" i="15"/>
  <c r="Z143" i="15"/>
  <c r="Z135" i="15"/>
  <c r="Z127" i="15"/>
  <c r="Z119" i="15"/>
  <c r="Z111" i="15"/>
  <c r="Z103" i="15"/>
  <c r="Z95" i="15"/>
  <c r="Z87" i="15"/>
  <c r="Z79" i="15"/>
  <c r="Z71" i="15"/>
  <c r="Z63" i="15"/>
  <c r="Z55" i="15"/>
  <c r="Z47" i="15"/>
  <c r="Z39" i="15"/>
  <c r="Z31" i="15"/>
  <c r="Z23" i="15"/>
  <c r="Z15" i="15"/>
  <c r="V157" i="15"/>
  <c r="V149" i="15"/>
  <c r="V141" i="15"/>
  <c r="V133" i="15"/>
  <c r="V125" i="15"/>
  <c r="V117" i="15"/>
  <c r="V109" i="15"/>
  <c r="V101" i="15"/>
  <c r="V93" i="15"/>
  <c r="V85" i="15"/>
  <c r="V77" i="15"/>
  <c r="V69" i="15"/>
  <c r="V61" i="15"/>
  <c r="V53" i="15"/>
  <c r="V45" i="15"/>
  <c r="V37" i="15"/>
  <c r="V29" i="15"/>
  <c r="V21" i="15"/>
  <c r="V13" i="15"/>
  <c r="AB155" i="15"/>
  <c r="AB147" i="15"/>
  <c r="AB139" i="15"/>
  <c r="AB131" i="15"/>
  <c r="AB123" i="15"/>
  <c r="AB115" i="15"/>
  <c r="AB107" i="15"/>
  <c r="AB99" i="15"/>
  <c r="AB91" i="15"/>
  <c r="AB83" i="15"/>
  <c r="AB75" i="15"/>
  <c r="AB67" i="15"/>
  <c r="AB59" i="15"/>
  <c r="AB51" i="15"/>
  <c r="AB43" i="15"/>
  <c r="AB35" i="15"/>
  <c r="AB27" i="15"/>
  <c r="AB19" i="15"/>
  <c r="R156" i="15"/>
  <c r="R148" i="15"/>
  <c r="R140" i="15"/>
  <c r="R132" i="15"/>
  <c r="R124" i="15"/>
  <c r="R116" i="15"/>
  <c r="R108" i="15"/>
  <c r="R100" i="15"/>
  <c r="R92" i="15"/>
  <c r="R84" i="15"/>
  <c r="R76" i="15"/>
  <c r="R68" i="15"/>
  <c r="R60" i="15"/>
  <c r="R52" i="15"/>
  <c r="R44" i="15"/>
  <c r="R36" i="15"/>
  <c r="R28" i="15"/>
  <c r="R20" i="15"/>
  <c r="R12" i="15"/>
  <c r="T160" i="15"/>
  <c r="T152" i="15"/>
  <c r="T144" i="15"/>
  <c r="T136" i="15"/>
  <c r="T128" i="15"/>
  <c r="T120" i="15"/>
  <c r="T112" i="15"/>
  <c r="T104" i="15"/>
  <c r="T96" i="15"/>
  <c r="T88" i="15"/>
  <c r="T80" i="15"/>
  <c r="T72" i="15"/>
  <c r="T64" i="15"/>
  <c r="T56" i="15"/>
  <c r="T48" i="15"/>
  <c r="T40" i="15"/>
  <c r="T32" i="15"/>
  <c r="T24" i="15"/>
  <c r="T16" i="15"/>
  <c r="Z158" i="15"/>
  <c r="Z150" i="15"/>
  <c r="Z142" i="15"/>
  <c r="Z134" i="15"/>
  <c r="Z126" i="15"/>
  <c r="Z118" i="15"/>
  <c r="Z110" i="15"/>
  <c r="Z102" i="15"/>
  <c r="Z94" i="15"/>
  <c r="Z86" i="15"/>
  <c r="Z78" i="15"/>
  <c r="Z70" i="15"/>
  <c r="Z62" i="15"/>
  <c r="Z54" i="15"/>
  <c r="Z46" i="15"/>
  <c r="Z38" i="15"/>
  <c r="Z30" i="15"/>
  <c r="Z22" i="15"/>
  <c r="Z14" i="15"/>
  <c r="V156" i="15"/>
  <c r="V148" i="15"/>
  <c r="V140" i="15"/>
  <c r="V132" i="15"/>
  <c r="V124" i="15"/>
  <c r="V116" i="15"/>
  <c r="V108" i="15"/>
  <c r="V100" i="15"/>
  <c r="V92" i="15"/>
  <c r="V84" i="15"/>
  <c r="V76" i="15"/>
  <c r="V68" i="15"/>
  <c r="V60" i="15"/>
  <c r="V52" i="15"/>
  <c r="V44" i="15"/>
  <c r="V36" i="15"/>
  <c r="V28" i="15"/>
  <c r="V20" i="15"/>
  <c r="V12" i="15"/>
  <c r="AB154" i="15"/>
  <c r="AB146" i="15"/>
  <c r="AB138" i="15"/>
  <c r="AB130" i="15"/>
  <c r="AB122" i="15"/>
  <c r="AB114" i="15"/>
  <c r="AB106" i="15"/>
  <c r="AB98" i="15"/>
  <c r="AB90" i="15"/>
  <c r="AB82" i="15"/>
  <c r="AB74" i="15"/>
  <c r="AB66" i="15"/>
  <c r="AB58" i="15"/>
  <c r="AB50" i="15"/>
  <c r="AB42" i="15"/>
  <c r="AB34" i="15"/>
  <c r="AB26" i="15"/>
  <c r="AB18" i="15"/>
  <c r="BD38" i="15"/>
  <c r="BE38" i="15" s="1"/>
  <c r="G290" i="16"/>
  <c r="C294" i="16"/>
  <c r="CD26" i="15"/>
  <c r="CD35" i="15"/>
  <c r="X156" i="15"/>
  <c r="X148" i="15"/>
  <c r="X140" i="15"/>
  <c r="X132" i="15"/>
  <c r="X124" i="15"/>
  <c r="X116" i="15"/>
  <c r="X108" i="15"/>
  <c r="X100" i="15"/>
  <c r="X92" i="15"/>
  <c r="X84" i="15"/>
  <c r="X76" i="15"/>
  <c r="X68" i="15"/>
  <c r="X60" i="15"/>
  <c r="X52" i="15"/>
  <c r="X44" i="15"/>
  <c r="X36" i="15"/>
  <c r="X28" i="15"/>
  <c r="X20" i="15"/>
  <c r="X12" i="15"/>
  <c r="X154" i="15"/>
  <c r="X146" i="15"/>
  <c r="X138" i="15"/>
  <c r="X130" i="15"/>
  <c r="X122" i="15"/>
  <c r="X114" i="15"/>
  <c r="X106" i="15"/>
  <c r="X98" i="15"/>
  <c r="X90" i="15"/>
  <c r="X82" i="15"/>
  <c r="X74" i="15"/>
  <c r="X66" i="15"/>
  <c r="X58" i="15"/>
  <c r="X50" i="15"/>
  <c r="X42" i="15"/>
  <c r="X34" i="15"/>
  <c r="X26" i="15"/>
  <c r="X18" i="15"/>
  <c r="X155" i="15"/>
  <c r="X147" i="15"/>
  <c r="X139" i="15"/>
  <c r="X131" i="15"/>
  <c r="X123" i="15"/>
  <c r="X115" i="15"/>
  <c r="X107" i="15"/>
  <c r="X99" i="15"/>
  <c r="X91" i="15"/>
  <c r="X83" i="15"/>
  <c r="X75" i="15"/>
  <c r="X67" i="15"/>
  <c r="X59" i="15"/>
  <c r="X51" i="15"/>
  <c r="X43" i="15"/>
  <c r="X35" i="15"/>
  <c r="X27" i="15"/>
  <c r="X19" i="15"/>
  <c r="X11" i="15"/>
  <c r="X153" i="15"/>
  <c r="X145" i="15"/>
  <c r="X137" i="15"/>
  <c r="X129" i="15"/>
  <c r="X121" i="15"/>
  <c r="X113" i="15"/>
  <c r="X105" i="15"/>
  <c r="X97" i="15"/>
  <c r="X89" i="15"/>
  <c r="X81" i="15"/>
  <c r="X73" i="15"/>
  <c r="X65" i="15"/>
  <c r="X57" i="15"/>
  <c r="X49" i="15"/>
  <c r="X41" i="15"/>
  <c r="X33" i="15"/>
  <c r="X25" i="15"/>
  <c r="X17" i="15"/>
  <c r="X160" i="15"/>
  <c r="X152" i="15"/>
  <c r="X144" i="15"/>
  <c r="X136" i="15"/>
  <c r="X128" i="15"/>
  <c r="X120" i="15"/>
  <c r="X112" i="15"/>
  <c r="X104" i="15"/>
  <c r="X96" i="15"/>
  <c r="X88" i="15"/>
  <c r="X80" i="15"/>
  <c r="X72" i="15"/>
  <c r="X64" i="15"/>
  <c r="X56" i="15"/>
  <c r="X48" i="15"/>
  <c r="X40" i="15"/>
  <c r="X32" i="15"/>
  <c r="X24" i="15"/>
  <c r="X16" i="15"/>
  <c r="X159" i="15"/>
  <c r="X151" i="15"/>
  <c r="X143" i="15"/>
  <c r="X135" i="15"/>
  <c r="X127" i="15"/>
  <c r="X119" i="15"/>
  <c r="X111" i="15"/>
  <c r="X103" i="15"/>
  <c r="X95" i="15"/>
  <c r="X87" i="15"/>
  <c r="X79" i="15"/>
  <c r="X71" i="15"/>
  <c r="X63" i="15"/>
  <c r="X55" i="15"/>
  <c r="X47" i="15"/>
  <c r="X39" i="15"/>
  <c r="X31" i="15"/>
  <c r="X23" i="15"/>
  <c r="X15" i="15"/>
  <c r="X158" i="15"/>
  <c r="X150" i="15"/>
  <c r="X142" i="15"/>
  <c r="X134" i="15"/>
  <c r="X126" i="15"/>
  <c r="X118" i="15"/>
  <c r="X110" i="15"/>
  <c r="X102" i="15"/>
  <c r="X94" i="15"/>
  <c r="X86" i="15"/>
  <c r="X78" i="15"/>
  <c r="X70" i="15"/>
  <c r="X62" i="15"/>
  <c r="X54" i="15"/>
  <c r="X46" i="15"/>
  <c r="X38" i="15"/>
  <c r="X30" i="15"/>
  <c r="X22" i="15"/>
  <c r="X14" i="15"/>
  <c r="X157" i="15"/>
  <c r="X149" i="15"/>
  <c r="X141" i="15"/>
  <c r="X133" i="15"/>
  <c r="X125" i="15"/>
  <c r="X117" i="15"/>
  <c r="X109" i="15"/>
  <c r="X101" i="15"/>
  <c r="X93" i="15"/>
  <c r="X85" i="15"/>
  <c r="X77" i="15"/>
  <c r="X69" i="15"/>
  <c r="X61" i="15"/>
  <c r="X53" i="15"/>
  <c r="X45" i="15"/>
  <c r="X37" i="15"/>
  <c r="X29" i="15"/>
  <c r="X21" i="15"/>
  <c r="X13" i="15"/>
  <c r="AE157" i="15"/>
  <c r="AE118" i="15"/>
  <c r="AE99" i="15"/>
  <c r="AE86" i="15"/>
  <c r="AE53" i="15"/>
  <c r="AE21" i="15"/>
  <c r="AE134" i="15"/>
  <c r="AE150" i="15"/>
  <c r="AE117" i="15"/>
  <c r="AE85" i="15"/>
  <c r="AE51" i="15"/>
  <c r="AE13" i="15"/>
  <c r="CD31" i="15"/>
  <c r="AE149" i="15"/>
  <c r="AE115" i="15"/>
  <c r="AE77" i="15"/>
  <c r="AE45" i="15"/>
  <c r="AE141" i="15"/>
  <c r="AE109" i="15"/>
  <c r="AE75" i="15"/>
  <c r="AF75" i="15" s="1"/>
  <c r="AE43" i="15"/>
  <c r="AE139" i="15"/>
  <c r="AE107" i="15"/>
  <c r="AE70" i="15"/>
  <c r="AE35" i="15"/>
  <c r="AE67" i="15"/>
  <c r="AE30" i="15"/>
  <c r="AE131" i="15"/>
  <c r="AE94" i="15"/>
  <c r="AE62" i="15"/>
  <c r="AE29" i="15"/>
  <c r="AE158" i="15"/>
  <c r="AE126" i="15"/>
  <c r="AE93" i="15"/>
  <c r="AE54" i="15"/>
  <c r="AE22" i="15"/>
  <c r="CD33" i="15"/>
  <c r="CD23" i="15"/>
  <c r="AE155" i="15"/>
  <c r="AE133" i="15"/>
  <c r="AE110" i="15"/>
  <c r="AE91" i="15"/>
  <c r="AE69" i="15"/>
  <c r="AE46" i="15"/>
  <c r="AE27" i="15"/>
  <c r="AE147" i="15"/>
  <c r="AE125" i="15"/>
  <c r="AE102" i="15"/>
  <c r="AE83" i="15"/>
  <c r="AE61" i="15"/>
  <c r="AE38" i="15"/>
  <c r="AE19" i="15"/>
  <c r="AE142" i="15"/>
  <c r="AE123" i="15"/>
  <c r="AE101" i="15"/>
  <c r="AE78" i="15"/>
  <c r="AE59" i="15"/>
  <c r="AE37" i="15"/>
  <c r="AE14" i="15"/>
  <c r="AC128" i="15"/>
  <c r="AE154" i="15"/>
  <c r="AE146" i="15"/>
  <c r="AE138" i="15"/>
  <c r="AE130" i="15"/>
  <c r="AE122" i="15"/>
  <c r="AE114" i="15"/>
  <c r="AE106" i="15"/>
  <c r="AE98" i="15"/>
  <c r="AE90" i="15"/>
  <c r="AE82" i="15"/>
  <c r="AE74" i="15"/>
  <c r="AE66" i="15"/>
  <c r="AE58" i="15"/>
  <c r="AE50" i="15"/>
  <c r="AE42" i="15"/>
  <c r="AE34" i="15"/>
  <c r="AE26" i="15"/>
  <c r="AE18" i="15"/>
  <c r="AC160" i="15"/>
  <c r="AC152" i="15"/>
  <c r="AC143" i="15"/>
  <c r="AC123" i="15"/>
  <c r="AC99" i="15"/>
  <c r="AC35" i="15"/>
  <c r="AC11" i="15"/>
  <c r="AE11" i="15"/>
  <c r="AE153" i="15"/>
  <c r="AE145" i="15"/>
  <c r="AE137" i="15"/>
  <c r="AE129" i="15"/>
  <c r="AE121" i="15"/>
  <c r="AE113" i="15"/>
  <c r="AE105" i="15"/>
  <c r="AE97" i="15"/>
  <c r="AE89" i="15"/>
  <c r="AE81" i="15"/>
  <c r="AE73" i="15"/>
  <c r="AE65" i="15"/>
  <c r="AE57" i="15"/>
  <c r="AE49" i="15"/>
  <c r="AE41" i="15"/>
  <c r="AE33" i="15"/>
  <c r="AE25" i="15"/>
  <c r="AE17" i="15"/>
  <c r="AC159" i="15"/>
  <c r="AC151" i="15"/>
  <c r="AC139" i="15"/>
  <c r="AC121" i="15"/>
  <c r="AC91" i="15"/>
  <c r="AC27" i="15"/>
  <c r="AC43" i="15"/>
  <c r="AE160" i="15"/>
  <c r="AE152" i="15"/>
  <c r="AE144" i="15"/>
  <c r="AE136" i="15"/>
  <c r="AE128" i="15"/>
  <c r="AE120" i="15"/>
  <c r="AE112" i="15"/>
  <c r="AE104" i="15"/>
  <c r="AE96" i="15"/>
  <c r="AE88" i="15"/>
  <c r="AE80" i="15"/>
  <c r="AE72" i="15"/>
  <c r="AE64" i="15"/>
  <c r="AE56" i="15"/>
  <c r="AE48" i="15"/>
  <c r="AE40" i="15"/>
  <c r="AE32" i="15"/>
  <c r="AE24" i="15"/>
  <c r="AE16" i="15"/>
  <c r="AC158" i="15"/>
  <c r="AC150" i="15"/>
  <c r="AC137" i="15"/>
  <c r="AC120" i="15"/>
  <c r="AC83" i="15"/>
  <c r="AC19" i="15"/>
  <c r="AC153" i="15"/>
  <c r="AE159" i="15"/>
  <c r="AE151" i="15"/>
  <c r="AE143" i="15"/>
  <c r="AE135" i="15"/>
  <c r="AE127" i="15"/>
  <c r="AE119" i="15"/>
  <c r="AE111" i="15"/>
  <c r="AE103" i="15"/>
  <c r="AE95" i="15"/>
  <c r="AE87" i="15"/>
  <c r="AE79" i="15"/>
  <c r="AE71" i="15"/>
  <c r="AE63" i="15"/>
  <c r="AE55" i="15"/>
  <c r="AE47" i="15"/>
  <c r="AE39" i="15"/>
  <c r="AE31" i="15"/>
  <c r="AE23" i="15"/>
  <c r="AE15" i="15"/>
  <c r="AC157" i="15"/>
  <c r="AC149" i="15"/>
  <c r="AF149" i="15" s="1"/>
  <c r="AC136" i="15"/>
  <c r="AC115" i="15"/>
  <c r="AC12" i="15"/>
  <c r="AF12" i="15" s="1"/>
  <c r="AC20" i="15"/>
  <c r="AC28" i="15"/>
  <c r="AC36" i="15"/>
  <c r="AC44" i="15"/>
  <c r="AC52" i="15"/>
  <c r="AC60" i="15"/>
  <c r="AC68" i="15"/>
  <c r="AC76" i="15"/>
  <c r="AC84" i="15"/>
  <c r="AC92" i="15"/>
  <c r="AC100" i="15"/>
  <c r="AC108" i="15"/>
  <c r="AC116" i="15"/>
  <c r="AC124" i="15"/>
  <c r="AC132" i="15"/>
  <c r="AC140" i="15"/>
  <c r="AC13" i="15"/>
  <c r="AC21" i="15"/>
  <c r="AC29" i="15"/>
  <c r="AC37" i="15"/>
  <c r="AC45" i="15"/>
  <c r="AC53" i="15"/>
  <c r="AC61" i="15"/>
  <c r="AC69" i="15"/>
  <c r="AC77" i="15"/>
  <c r="AC85" i="15"/>
  <c r="AC93" i="15"/>
  <c r="AC101" i="15"/>
  <c r="AC109" i="15"/>
  <c r="AC117" i="15"/>
  <c r="AC125" i="15"/>
  <c r="AC133" i="15"/>
  <c r="AC141" i="15"/>
  <c r="AC14" i="15"/>
  <c r="AC22" i="15"/>
  <c r="AC30" i="15"/>
  <c r="AC38" i="15"/>
  <c r="AC46" i="15"/>
  <c r="AC54" i="15"/>
  <c r="AC62" i="15"/>
  <c r="AC70" i="15"/>
  <c r="AC78" i="15"/>
  <c r="AC86" i="15"/>
  <c r="AC94" i="15"/>
  <c r="AC102" i="15"/>
  <c r="AC110" i="15"/>
  <c r="AC118" i="15"/>
  <c r="AC126" i="15"/>
  <c r="AC134" i="15"/>
  <c r="AC142" i="15"/>
  <c r="AC15" i="15"/>
  <c r="AC23" i="15"/>
  <c r="AC31" i="15"/>
  <c r="AC39" i="15"/>
  <c r="AC47" i="15"/>
  <c r="AC55" i="15"/>
  <c r="AC63" i="15"/>
  <c r="AC71" i="15"/>
  <c r="AC79" i="15"/>
  <c r="AC87" i="15"/>
  <c r="AC95" i="15"/>
  <c r="AC103" i="15"/>
  <c r="AC111" i="15"/>
  <c r="AC119" i="15"/>
  <c r="AC127" i="15"/>
  <c r="AC16" i="15"/>
  <c r="AC24" i="15"/>
  <c r="AC32" i="15"/>
  <c r="AC40" i="15"/>
  <c r="AC48" i="15"/>
  <c r="AC56" i="15"/>
  <c r="AC64" i="15"/>
  <c r="AC72" i="15"/>
  <c r="AC80" i="15"/>
  <c r="AC88" i="15"/>
  <c r="AC96" i="15"/>
  <c r="AC104" i="15"/>
  <c r="AC17" i="15"/>
  <c r="AC25" i="15"/>
  <c r="AC33" i="15"/>
  <c r="AC41" i="15"/>
  <c r="AC49" i="15"/>
  <c r="AC57" i="15"/>
  <c r="AC65" i="15"/>
  <c r="AC73" i="15"/>
  <c r="AC81" i="15"/>
  <c r="AC89" i="15"/>
  <c r="AC97" i="15"/>
  <c r="AC18" i="15"/>
  <c r="AC26" i="15"/>
  <c r="AC34" i="15"/>
  <c r="AC42" i="15"/>
  <c r="AC50" i="15"/>
  <c r="AC58" i="15"/>
  <c r="AC66" i="15"/>
  <c r="AC74" i="15"/>
  <c r="AC82" i="15"/>
  <c r="AC90" i="15"/>
  <c r="AC98" i="15"/>
  <c r="AC106" i="15"/>
  <c r="AC114" i="15"/>
  <c r="AC122" i="15"/>
  <c r="AC130" i="15"/>
  <c r="AC138" i="15"/>
  <c r="AC146" i="15"/>
  <c r="AC105" i="15"/>
  <c r="AC156" i="15"/>
  <c r="AC148" i="15"/>
  <c r="AC135" i="15"/>
  <c r="AC113" i="15"/>
  <c r="AC67" i="15"/>
  <c r="AC144" i="15"/>
  <c r="AC155" i="15"/>
  <c r="AC147" i="15"/>
  <c r="AC131" i="15"/>
  <c r="AC112" i="15"/>
  <c r="AC59" i="15"/>
  <c r="AE156" i="15"/>
  <c r="AE148" i="15"/>
  <c r="AE140" i="15"/>
  <c r="AE132" i="15"/>
  <c r="AE124" i="15"/>
  <c r="AE116" i="15"/>
  <c r="AE108" i="15"/>
  <c r="AE100" i="15"/>
  <c r="AE92" i="15"/>
  <c r="AE84" i="15"/>
  <c r="AE76" i="15"/>
  <c r="AE68" i="15"/>
  <c r="AE60" i="15"/>
  <c r="AE52" i="15"/>
  <c r="AE44" i="15"/>
  <c r="AE36" i="15"/>
  <c r="AE28" i="15"/>
  <c r="AE20" i="15"/>
  <c r="AC154" i="15"/>
  <c r="AC145" i="15"/>
  <c r="AC129" i="15"/>
  <c r="AC107" i="15"/>
  <c r="AC51" i="15"/>
  <c r="L11" i="12"/>
  <c r="L13" i="12" s="1"/>
  <c r="M379" i="12"/>
  <c r="M11" i="12" s="1"/>
  <c r="M13" i="12" s="1"/>
  <c r="L379" i="12"/>
  <c r="K379" i="12"/>
  <c r="K11" i="12" s="1"/>
  <c r="I379" i="12"/>
  <c r="I11" i="12" s="1"/>
  <c r="I13" i="12" s="1"/>
  <c r="H379" i="12"/>
  <c r="H11" i="12" s="1"/>
  <c r="H13" i="12" s="1"/>
  <c r="BE15" i="15" s="1"/>
  <c r="N13" i="15" l="1"/>
  <c r="AD13" i="15" s="1"/>
  <c r="N15" i="15"/>
  <c r="N17" i="15"/>
  <c r="N19" i="15"/>
  <c r="AD19" i="15" s="1"/>
  <c r="N21" i="15"/>
  <c r="AD21" i="15" s="1"/>
  <c r="N23" i="15"/>
  <c r="AD23" i="15" s="1"/>
  <c r="N25" i="15"/>
  <c r="AD25" i="15" s="1"/>
  <c r="N27" i="15"/>
  <c r="AD27" i="15" s="1"/>
  <c r="N29" i="15"/>
  <c r="AD29" i="15" s="1"/>
  <c r="N31" i="15"/>
  <c r="AD31" i="15" s="1"/>
  <c r="N33" i="15"/>
  <c r="AD33" i="15" s="1"/>
  <c r="N35" i="15"/>
  <c r="AD35" i="15" s="1"/>
  <c r="N37" i="15"/>
  <c r="AD37" i="15" s="1"/>
  <c r="N39" i="15"/>
  <c r="AD39" i="15" s="1"/>
  <c r="N41" i="15"/>
  <c r="AD41" i="15" s="1"/>
  <c r="N43" i="15"/>
  <c r="AD43" i="15" s="1"/>
  <c r="N45" i="15"/>
  <c r="AD45" i="15" s="1"/>
  <c r="N47" i="15"/>
  <c r="AD47" i="15" s="1"/>
  <c r="N49" i="15"/>
  <c r="AD49" i="15" s="1"/>
  <c r="N51" i="15"/>
  <c r="AD51" i="15" s="1"/>
  <c r="N53" i="15"/>
  <c r="AD53" i="15" s="1"/>
  <c r="N55" i="15"/>
  <c r="AD55" i="15" s="1"/>
  <c r="N57" i="15"/>
  <c r="AD57" i="15" s="1"/>
  <c r="N59" i="15"/>
  <c r="AD59" i="15" s="1"/>
  <c r="N61" i="15"/>
  <c r="AD61" i="15" s="1"/>
  <c r="N63" i="15"/>
  <c r="AD63" i="15" s="1"/>
  <c r="N65" i="15"/>
  <c r="AD65" i="15" s="1"/>
  <c r="N67" i="15"/>
  <c r="AD67" i="15" s="1"/>
  <c r="N69" i="15"/>
  <c r="AD69" i="15" s="1"/>
  <c r="N71" i="15"/>
  <c r="AD71" i="15" s="1"/>
  <c r="N73" i="15"/>
  <c r="N75" i="15"/>
  <c r="AD75" i="15" s="1"/>
  <c r="N77" i="15"/>
  <c r="AD77" i="15" s="1"/>
  <c r="N79" i="15"/>
  <c r="AD79" i="15" s="1"/>
  <c r="N81" i="15"/>
  <c r="AD81" i="15" s="1"/>
  <c r="N83" i="15"/>
  <c r="AD83" i="15" s="1"/>
  <c r="N85" i="15"/>
  <c r="AD85" i="15" s="1"/>
  <c r="N87" i="15"/>
  <c r="AD87" i="15" s="1"/>
  <c r="N89" i="15"/>
  <c r="N91" i="15"/>
  <c r="AD91" i="15" s="1"/>
  <c r="N93" i="15"/>
  <c r="AD93" i="15" s="1"/>
  <c r="N95" i="15"/>
  <c r="N14" i="15"/>
  <c r="N18" i="15"/>
  <c r="AD18" i="15" s="1"/>
  <c r="N22" i="15"/>
  <c r="AD22" i="15" s="1"/>
  <c r="N38" i="15"/>
  <c r="AD38" i="15" s="1"/>
  <c r="N32" i="15"/>
  <c r="AD32" i="15" s="1"/>
  <c r="N48" i="15"/>
  <c r="AD48" i="15" s="1"/>
  <c r="N56" i="15"/>
  <c r="AD56" i="15" s="1"/>
  <c r="N64" i="15"/>
  <c r="AD64" i="15" s="1"/>
  <c r="N72" i="15"/>
  <c r="AD72" i="15" s="1"/>
  <c r="N80" i="15"/>
  <c r="AD80" i="15" s="1"/>
  <c r="N88" i="15"/>
  <c r="AD88" i="15" s="1"/>
  <c r="N96" i="15"/>
  <c r="AD96" i="15" s="1"/>
  <c r="N98" i="15"/>
  <c r="AD98" i="15" s="1"/>
  <c r="N100" i="15"/>
  <c r="AD100" i="15" s="1"/>
  <c r="N102" i="15"/>
  <c r="AD102" i="15" s="1"/>
  <c r="N104" i="15"/>
  <c r="AD104" i="15" s="1"/>
  <c r="N106" i="15"/>
  <c r="AD106" i="15" s="1"/>
  <c r="N108" i="15"/>
  <c r="AD108" i="15" s="1"/>
  <c r="N110" i="15"/>
  <c r="AD110" i="15" s="1"/>
  <c r="N112" i="15"/>
  <c r="AD112" i="15" s="1"/>
  <c r="N114" i="15"/>
  <c r="AD114" i="15" s="1"/>
  <c r="N116" i="15"/>
  <c r="AD116" i="15" s="1"/>
  <c r="N118" i="15"/>
  <c r="AD118" i="15" s="1"/>
  <c r="N120" i="15"/>
  <c r="AD120" i="15" s="1"/>
  <c r="N122" i="15"/>
  <c r="AD122" i="15" s="1"/>
  <c r="N26" i="15"/>
  <c r="AD26" i="15" s="1"/>
  <c r="N42" i="15"/>
  <c r="AD42" i="15" s="1"/>
  <c r="N36" i="15"/>
  <c r="AD36" i="15" s="1"/>
  <c r="N54" i="15"/>
  <c r="AD54" i="15" s="1"/>
  <c r="N62" i="15"/>
  <c r="AD62" i="15" s="1"/>
  <c r="N70" i="15"/>
  <c r="AD70" i="15" s="1"/>
  <c r="N78" i="15"/>
  <c r="AD78" i="15" s="1"/>
  <c r="N86" i="15"/>
  <c r="AD86" i="15" s="1"/>
  <c r="N94" i="15"/>
  <c r="AD94" i="15" s="1"/>
  <c r="N16" i="15"/>
  <c r="AD16" i="15" s="1"/>
  <c r="N20" i="15"/>
  <c r="AD20" i="15" s="1"/>
  <c r="N30" i="15"/>
  <c r="AD30" i="15" s="1"/>
  <c r="N46" i="15"/>
  <c r="AD46" i="15" s="1"/>
  <c r="N24" i="15"/>
  <c r="AD24" i="15" s="1"/>
  <c r="N40" i="15"/>
  <c r="N52" i="15"/>
  <c r="N60" i="15"/>
  <c r="AD60" i="15" s="1"/>
  <c r="N68" i="15"/>
  <c r="AD68" i="15" s="1"/>
  <c r="N76" i="15"/>
  <c r="AD76" i="15" s="1"/>
  <c r="N84" i="15"/>
  <c r="AD84" i="15" s="1"/>
  <c r="N92" i="15"/>
  <c r="AD92" i="15" s="1"/>
  <c r="N97" i="15"/>
  <c r="AD97" i="15" s="1"/>
  <c r="N99" i="15"/>
  <c r="AD99" i="15" s="1"/>
  <c r="N101" i="15"/>
  <c r="AD101" i="15" s="1"/>
  <c r="N103" i="15"/>
  <c r="AD103" i="15" s="1"/>
  <c r="N105" i="15"/>
  <c r="N107" i="15"/>
  <c r="AD107" i="15" s="1"/>
  <c r="N109" i="15"/>
  <c r="AD109" i="15" s="1"/>
  <c r="N111" i="15"/>
  <c r="AD111" i="15" s="1"/>
  <c r="N113" i="15"/>
  <c r="AD113" i="15" s="1"/>
  <c r="N115" i="15"/>
  <c r="AD115" i="15" s="1"/>
  <c r="N117" i="15"/>
  <c r="N119" i="15"/>
  <c r="AD119" i="15" s="1"/>
  <c r="N34" i="15"/>
  <c r="AD34" i="15" s="1"/>
  <c r="N50" i="15"/>
  <c r="AD50" i="15" s="1"/>
  <c r="N66" i="15"/>
  <c r="AD66" i="15" s="1"/>
  <c r="N82" i="15"/>
  <c r="AD82" i="15" s="1"/>
  <c r="N146" i="15"/>
  <c r="AD146" i="15" s="1"/>
  <c r="N150" i="15"/>
  <c r="AD150" i="15" s="1"/>
  <c r="N156" i="15"/>
  <c r="AD156" i="15" s="1"/>
  <c r="N44" i="15"/>
  <c r="AD44" i="15" s="1"/>
  <c r="N144" i="15"/>
  <c r="AD144" i="15" s="1"/>
  <c r="N148" i="15"/>
  <c r="N154" i="15"/>
  <c r="AD154" i="15" s="1"/>
  <c r="N158" i="15"/>
  <c r="AD158" i="15" s="1"/>
  <c r="N160" i="15"/>
  <c r="AD160" i="15" s="1"/>
  <c r="N121" i="15"/>
  <c r="N124" i="15"/>
  <c r="AD124" i="15" s="1"/>
  <c r="N126" i="15"/>
  <c r="AD126" i="15" s="1"/>
  <c r="N128" i="15"/>
  <c r="AD128" i="15" s="1"/>
  <c r="N130" i="15"/>
  <c r="AD130" i="15" s="1"/>
  <c r="N132" i="15"/>
  <c r="N134" i="15"/>
  <c r="AD134" i="15" s="1"/>
  <c r="N136" i="15"/>
  <c r="N138" i="15"/>
  <c r="AD138" i="15" s="1"/>
  <c r="N140" i="15"/>
  <c r="AD140" i="15" s="1"/>
  <c r="N142" i="15"/>
  <c r="AD142" i="15" s="1"/>
  <c r="N152" i="15"/>
  <c r="AD152" i="15" s="1"/>
  <c r="N28" i="15"/>
  <c r="AD28" i="15" s="1"/>
  <c r="N58" i="15"/>
  <c r="AD58" i="15" s="1"/>
  <c r="N74" i="15"/>
  <c r="AD74" i="15" s="1"/>
  <c r="N90" i="15"/>
  <c r="AD90" i="15" s="1"/>
  <c r="N12" i="15"/>
  <c r="AD12" i="15" s="1"/>
  <c r="N123" i="15"/>
  <c r="AD123" i="15" s="1"/>
  <c r="N125" i="15"/>
  <c r="AD125" i="15" s="1"/>
  <c r="N127" i="15"/>
  <c r="AD127" i="15" s="1"/>
  <c r="N129" i="15"/>
  <c r="AD129" i="15" s="1"/>
  <c r="N131" i="15"/>
  <c r="AD131" i="15" s="1"/>
  <c r="N133" i="15"/>
  <c r="AD133" i="15" s="1"/>
  <c r="N135" i="15"/>
  <c r="AD135" i="15" s="1"/>
  <c r="N137" i="15"/>
  <c r="N139" i="15"/>
  <c r="AD139" i="15" s="1"/>
  <c r="N141" i="15"/>
  <c r="AD141" i="15" s="1"/>
  <c r="N143" i="15"/>
  <c r="AD143" i="15" s="1"/>
  <c r="N145" i="15"/>
  <c r="AD145" i="15" s="1"/>
  <c r="N147" i="15"/>
  <c r="AD147" i="15" s="1"/>
  <c r="N149" i="15"/>
  <c r="AD149" i="15" s="1"/>
  <c r="N151" i="15"/>
  <c r="AD151" i="15" s="1"/>
  <c r="N153" i="15"/>
  <c r="N155" i="15"/>
  <c r="AD155" i="15" s="1"/>
  <c r="N157" i="15"/>
  <c r="AD157" i="15" s="1"/>
  <c r="N159" i="15"/>
  <c r="AD159" i="15" s="1"/>
  <c r="N11" i="15"/>
  <c r="AD11" i="15" s="1"/>
  <c r="AD15" i="15"/>
  <c r="AD17" i="15"/>
  <c r="AD95" i="15"/>
  <c r="AD117" i="15"/>
  <c r="AD14" i="15"/>
  <c r="AD40" i="15"/>
  <c r="AD136" i="15"/>
  <c r="AF151" i="15"/>
  <c r="AF118" i="15"/>
  <c r="K11" i="15"/>
  <c r="J380" i="12"/>
  <c r="K13" i="12"/>
  <c r="AF78" i="15"/>
  <c r="AF13" i="15"/>
  <c r="AF159" i="15"/>
  <c r="AJ63" i="15"/>
  <c r="AJ81" i="15"/>
  <c r="AJ90" i="15"/>
  <c r="AH114" i="15"/>
  <c r="AI114" i="15" s="1"/>
  <c r="AH30" i="15"/>
  <c r="AI30" i="15" s="1"/>
  <c r="AJ30" i="15"/>
  <c r="AH157" i="15"/>
  <c r="AI157" i="15" s="1"/>
  <c r="AH73" i="15"/>
  <c r="AJ120" i="15"/>
  <c r="AJ92" i="15"/>
  <c r="AH116" i="15"/>
  <c r="AI116" i="15" s="1"/>
  <c r="AH32" i="15"/>
  <c r="AI32" i="15" s="1"/>
  <c r="AJ23" i="15"/>
  <c r="AH159" i="15"/>
  <c r="AI159" i="15" s="1"/>
  <c r="AH75" i="15"/>
  <c r="AI75" i="15" s="1"/>
  <c r="AJ54" i="15"/>
  <c r="AH126" i="15"/>
  <c r="AI126" i="15" s="1"/>
  <c r="AH128" i="15"/>
  <c r="AI128" i="15" s="1"/>
  <c r="AJ67" i="15"/>
  <c r="AH106" i="15"/>
  <c r="AI106" i="15" s="1"/>
  <c r="AH18" i="15"/>
  <c r="AI18" i="15" s="1"/>
  <c r="AJ158" i="15"/>
  <c r="AH149" i="15"/>
  <c r="AI149" i="15" s="1"/>
  <c r="AH61" i="15"/>
  <c r="AI61" i="15" s="1"/>
  <c r="AJ97" i="15"/>
  <c r="AJ74" i="15"/>
  <c r="AH104" i="15"/>
  <c r="AI104" i="15" s="1"/>
  <c r="AH20" i="15"/>
  <c r="AI20" i="15" s="1"/>
  <c r="AJ154" i="15"/>
  <c r="AH147" i="15"/>
  <c r="AH63" i="15"/>
  <c r="AI63" i="15" s="1"/>
  <c r="AJ95" i="15"/>
  <c r="AH42" i="15"/>
  <c r="AH40" i="15"/>
  <c r="AI40" i="15" s="1"/>
  <c r="AJ44" i="15"/>
  <c r="AH94" i="15"/>
  <c r="AI94" i="15" s="1"/>
  <c r="AJ159" i="15"/>
  <c r="AJ130" i="15"/>
  <c r="AH137" i="15"/>
  <c r="AI137" i="15" s="1"/>
  <c r="AH53" i="15"/>
  <c r="AI53" i="15" s="1"/>
  <c r="AJ70" i="15"/>
  <c r="AJ51" i="15"/>
  <c r="AH96" i="15"/>
  <c r="AI96" i="15" s="1"/>
  <c r="AJ155" i="15"/>
  <c r="AJ132" i="15"/>
  <c r="AH139" i="15"/>
  <c r="AI139" i="15" s="1"/>
  <c r="AH51" i="15"/>
  <c r="AJ108" i="15"/>
  <c r="AJ134" i="15"/>
  <c r="AH83" i="15"/>
  <c r="AI83" i="15" s="1"/>
  <c r="AJ26" i="15"/>
  <c r="AH82" i="15"/>
  <c r="AJ135" i="15"/>
  <c r="AJ116" i="15"/>
  <c r="AH125" i="15"/>
  <c r="AI125" i="15" s="1"/>
  <c r="AH41" i="15"/>
  <c r="AI41" i="15" s="1"/>
  <c r="AJ56" i="15"/>
  <c r="AJ28" i="15"/>
  <c r="AH84" i="15"/>
  <c r="AI84" i="15" s="1"/>
  <c r="AJ139" i="15"/>
  <c r="AJ109" i="15"/>
  <c r="AH127" i="15"/>
  <c r="AI127" i="15" s="1"/>
  <c r="AH43" i="15"/>
  <c r="AH85" i="15"/>
  <c r="AI85" i="15" s="1"/>
  <c r="AJ27" i="15"/>
  <c r="AH158" i="15"/>
  <c r="AI158" i="15" s="1"/>
  <c r="AH74" i="15"/>
  <c r="AI74" i="15" s="1"/>
  <c r="AJ112" i="15"/>
  <c r="AJ93" i="15"/>
  <c r="AH117" i="15"/>
  <c r="AI117" i="15" s="1"/>
  <c r="AH29" i="15"/>
  <c r="AI29" i="15" s="1"/>
  <c r="AJ33" i="15"/>
  <c r="AH160" i="15"/>
  <c r="AI160" i="15" s="1"/>
  <c r="AH72" i="15"/>
  <c r="AI72" i="15" s="1"/>
  <c r="AJ110" i="15"/>
  <c r="AJ91" i="15"/>
  <c r="AH115" i="15"/>
  <c r="AI115" i="15" s="1"/>
  <c r="AH31" i="15"/>
  <c r="AI31" i="15" s="1"/>
  <c r="AJ40" i="15"/>
  <c r="AJ48" i="15"/>
  <c r="AJ46" i="15"/>
  <c r="AJ152" i="15"/>
  <c r="AH146" i="15"/>
  <c r="AI146" i="15" s="1"/>
  <c r="AH62" i="15"/>
  <c r="AI62" i="15" s="1"/>
  <c r="AJ94" i="15"/>
  <c r="AJ66" i="15"/>
  <c r="AH105" i="15"/>
  <c r="AI105" i="15" s="1"/>
  <c r="AH21" i="15"/>
  <c r="AI21" i="15" s="1"/>
  <c r="AJ156" i="15"/>
  <c r="AH148" i="15"/>
  <c r="AH64" i="15"/>
  <c r="AI64" i="15" s="1"/>
  <c r="AJ87" i="15"/>
  <c r="AJ68" i="15"/>
  <c r="AH107" i="15"/>
  <c r="AI107" i="15" s="1"/>
  <c r="AH19" i="15"/>
  <c r="AI19" i="15" s="1"/>
  <c r="AJ145" i="15"/>
  <c r="AJ131" i="15"/>
  <c r="AH138" i="15"/>
  <c r="AI138" i="15" s="1"/>
  <c r="AH50" i="15"/>
  <c r="AI50" i="15" s="1"/>
  <c r="AJ71" i="15"/>
  <c r="AJ52" i="15"/>
  <c r="AH93" i="15"/>
  <c r="AI93" i="15" s="1"/>
  <c r="AJ157" i="15"/>
  <c r="AJ140" i="15"/>
  <c r="AH136" i="15"/>
  <c r="AI136" i="15" s="1"/>
  <c r="AH52" i="15"/>
  <c r="AI52" i="15" s="1"/>
  <c r="AJ73" i="15"/>
  <c r="AJ45" i="15"/>
  <c r="AH95" i="15"/>
  <c r="AI95" i="15" s="1"/>
  <c r="AH11" i="15"/>
  <c r="AJ29" i="15"/>
  <c r="AJ115" i="15"/>
  <c r="AJ17" i="15"/>
  <c r="AH35" i="15"/>
  <c r="AI35" i="15" s="1"/>
  <c r="AH67" i="15"/>
  <c r="AI67" i="15" s="1"/>
  <c r="AH99" i="15"/>
  <c r="AI99" i="15" s="1"/>
  <c r="AH131" i="15"/>
  <c r="AI131" i="15" s="1"/>
  <c r="AJ13" i="15"/>
  <c r="AJ77" i="15"/>
  <c r="AJ138" i="15"/>
  <c r="AJ55" i="15"/>
  <c r="AJ119" i="15"/>
  <c r="AH24" i="15"/>
  <c r="AH56" i="15"/>
  <c r="AI56" i="15" s="1"/>
  <c r="AH88" i="15"/>
  <c r="AI88" i="15" s="1"/>
  <c r="AH120" i="15"/>
  <c r="AI120" i="15" s="1"/>
  <c r="AH152" i="15"/>
  <c r="AI152" i="15" s="1"/>
  <c r="AJ60" i="15"/>
  <c r="AJ124" i="15"/>
  <c r="AJ38" i="15"/>
  <c r="AJ102" i="15"/>
  <c r="AH13" i="15"/>
  <c r="AI13" i="15" s="1"/>
  <c r="AH45" i="15"/>
  <c r="AH77" i="15"/>
  <c r="AI77" i="15" s="1"/>
  <c r="AH109" i="15"/>
  <c r="AI109" i="15" s="1"/>
  <c r="AH141" i="15"/>
  <c r="AI141" i="15" s="1"/>
  <c r="AJ34" i="15"/>
  <c r="AJ98" i="15"/>
  <c r="AJ16" i="15"/>
  <c r="AJ80" i="15"/>
  <c r="AJ143" i="15"/>
  <c r="AH34" i="15"/>
  <c r="AI34" i="15" s="1"/>
  <c r="AH66" i="15"/>
  <c r="AI66" i="15" s="1"/>
  <c r="AH98" i="15"/>
  <c r="AI98" i="15" s="1"/>
  <c r="AH130" i="15"/>
  <c r="AI130" i="15" s="1"/>
  <c r="AJ12" i="15"/>
  <c r="AJ76" i="15"/>
  <c r="AJ136" i="15"/>
  <c r="AJ31" i="15"/>
  <c r="AH39" i="15"/>
  <c r="AI39" i="15" s="1"/>
  <c r="AH71" i="15"/>
  <c r="AI71" i="15" s="1"/>
  <c r="AH103" i="15"/>
  <c r="AI103" i="15" s="1"/>
  <c r="AH135" i="15"/>
  <c r="AI135" i="15" s="1"/>
  <c r="AJ18" i="15"/>
  <c r="AJ82" i="15"/>
  <c r="AJ146" i="15"/>
  <c r="AJ64" i="15"/>
  <c r="AJ128" i="15"/>
  <c r="AH28" i="15"/>
  <c r="AI28" i="15" s="1"/>
  <c r="AH60" i="15"/>
  <c r="AI60" i="15" s="1"/>
  <c r="AH92" i="15"/>
  <c r="AH124" i="15"/>
  <c r="AH156" i="15"/>
  <c r="AI156" i="15" s="1"/>
  <c r="AJ69" i="15"/>
  <c r="AJ133" i="15"/>
  <c r="AJ47" i="15"/>
  <c r="AJ111" i="15"/>
  <c r="AH17" i="15"/>
  <c r="AI17" i="15" s="1"/>
  <c r="AH49" i="15"/>
  <c r="AI49" i="15" s="1"/>
  <c r="AH81" i="15"/>
  <c r="AI81" i="15" s="1"/>
  <c r="AH113" i="15"/>
  <c r="AI113" i="15" s="1"/>
  <c r="AH145" i="15"/>
  <c r="AI145" i="15" s="1"/>
  <c r="AJ43" i="15"/>
  <c r="AJ107" i="15"/>
  <c r="AJ25" i="15"/>
  <c r="AJ89" i="15"/>
  <c r="AJ151" i="15"/>
  <c r="AH38" i="15"/>
  <c r="AH70" i="15"/>
  <c r="AH102" i="15"/>
  <c r="AI102" i="15" s="1"/>
  <c r="AH134" i="15"/>
  <c r="AI134" i="15" s="1"/>
  <c r="AJ21" i="15"/>
  <c r="AJ85" i="15"/>
  <c r="AJ144" i="15"/>
  <c r="AJ118" i="15"/>
  <c r="AH15" i="15"/>
  <c r="AH47" i="15"/>
  <c r="AI47" i="15" s="1"/>
  <c r="AH79" i="15"/>
  <c r="AI79" i="15" s="1"/>
  <c r="AH111" i="15"/>
  <c r="AI111" i="15" s="1"/>
  <c r="AH143" i="15"/>
  <c r="AI143" i="15" s="1"/>
  <c r="AJ36" i="15"/>
  <c r="AJ100" i="15"/>
  <c r="AJ14" i="15"/>
  <c r="AJ78" i="15"/>
  <c r="AJ147" i="15"/>
  <c r="AH36" i="15"/>
  <c r="AI36" i="15" s="1"/>
  <c r="AH68" i="15"/>
  <c r="AI68" i="15" s="1"/>
  <c r="AH100" i="15"/>
  <c r="AI100" i="15" s="1"/>
  <c r="AH132" i="15"/>
  <c r="AI132" i="15" s="1"/>
  <c r="AJ19" i="15"/>
  <c r="AJ83" i="15"/>
  <c r="AJ148" i="15"/>
  <c r="AJ65" i="15"/>
  <c r="AJ129" i="15"/>
  <c r="AH25" i="15"/>
  <c r="AH57" i="15"/>
  <c r="AI57" i="15" s="1"/>
  <c r="AH89" i="15"/>
  <c r="AI89" i="15" s="1"/>
  <c r="AH121" i="15"/>
  <c r="AI121" i="15" s="1"/>
  <c r="AH153" i="15"/>
  <c r="AI153" i="15" s="1"/>
  <c r="AJ61" i="15"/>
  <c r="AJ125" i="15"/>
  <c r="AJ39" i="15"/>
  <c r="AJ103" i="15"/>
  <c r="AH14" i="15"/>
  <c r="AH46" i="15"/>
  <c r="AI46" i="15" s="1"/>
  <c r="AH78" i="15"/>
  <c r="AI78" i="15" s="1"/>
  <c r="AH110" i="15"/>
  <c r="AI110" i="15" s="1"/>
  <c r="AH142" i="15"/>
  <c r="AI142" i="15" s="1"/>
  <c r="AJ35" i="15"/>
  <c r="AJ99" i="15"/>
  <c r="AJ160" i="15"/>
  <c r="AJ153" i="15"/>
  <c r="AJ22" i="15"/>
  <c r="AH23" i="15"/>
  <c r="AI23" i="15" s="1"/>
  <c r="AH55" i="15"/>
  <c r="AH87" i="15"/>
  <c r="AI87" i="15" s="1"/>
  <c r="AH119" i="15"/>
  <c r="AI119" i="15" s="1"/>
  <c r="AH151" i="15"/>
  <c r="AI151" i="15" s="1"/>
  <c r="AJ50" i="15"/>
  <c r="AJ114" i="15"/>
  <c r="AJ32" i="15"/>
  <c r="AJ96" i="15"/>
  <c r="AH12" i="15"/>
  <c r="AI12" i="15" s="1"/>
  <c r="AH44" i="15"/>
  <c r="AI44" i="15" s="1"/>
  <c r="AH76" i="15"/>
  <c r="AI76" i="15" s="1"/>
  <c r="AH108" i="15"/>
  <c r="AI108" i="15" s="1"/>
  <c r="AH140" i="15"/>
  <c r="AI140" i="15" s="1"/>
  <c r="AJ37" i="15"/>
  <c r="AJ101" i="15"/>
  <c r="AJ15" i="15"/>
  <c r="AJ79" i="15"/>
  <c r="AJ141" i="15"/>
  <c r="AH33" i="15"/>
  <c r="AI33" i="15" s="1"/>
  <c r="AH65" i="15"/>
  <c r="AI65" i="15" s="1"/>
  <c r="AH97" i="15"/>
  <c r="AI97" i="15" s="1"/>
  <c r="AH129" i="15"/>
  <c r="AI129" i="15" s="1"/>
  <c r="AJ11" i="15"/>
  <c r="AJ75" i="15"/>
  <c r="AJ142" i="15"/>
  <c r="AJ57" i="15"/>
  <c r="AJ121" i="15"/>
  <c r="AH22" i="15"/>
  <c r="AI22" i="15" s="1"/>
  <c r="AH54" i="15"/>
  <c r="AI54" i="15" s="1"/>
  <c r="AH86" i="15"/>
  <c r="AI86" i="15" s="1"/>
  <c r="AH118" i="15"/>
  <c r="AI118" i="15" s="1"/>
  <c r="AH150" i="15"/>
  <c r="AI150" i="15" s="1"/>
  <c r="AJ53" i="15"/>
  <c r="AJ117" i="15"/>
  <c r="AJ137" i="15"/>
  <c r="AJ113" i="15"/>
  <c r="AJ104" i="15"/>
  <c r="AJ72" i="15"/>
  <c r="AJ127" i="15"/>
  <c r="AH27" i="15"/>
  <c r="AI27" i="15" s="1"/>
  <c r="AH59" i="15"/>
  <c r="AI59" i="15" s="1"/>
  <c r="AH91" i="15"/>
  <c r="AI91" i="15" s="1"/>
  <c r="AH123" i="15"/>
  <c r="AI123" i="15" s="1"/>
  <c r="AH155" i="15"/>
  <c r="AJ59" i="15"/>
  <c r="AJ123" i="15"/>
  <c r="AJ41" i="15"/>
  <c r="AJ105" i="15"/>
  <c r="AH16" i="15"/>
  <c r="AI16" i="15" s="1"/>
  <c r="AH48" i="15"/>
  <c r="AI48" i="15" s="1"/>
  <c r="AH80" i="15"/>
  <c r="AI80" i="15" s="1"/>
  <c r="AH112" i="15"/>
  <c r="AI112" i="15" s="1"/>
  <c r="AH144" i="15"/>
  <c r="AI144" i="15" s="1"/>
  <c r="AJ42" i="15"/>
  <c r="AJ106" i="15"/>
  <c r="AJ24" i="15"/>
  <c r="AJ88" i="15"/>
  <c r="AJ149" i="15"/>
  <c r="AH37" i="15"/>
  <c r="AH69" i="15"/>
  <c r="AH101" i="15"/>
  <c r="AI101" i="15" s="1"/>
  <c r="AH133" i="15"/>
  <c r="AJ20" i="15"/>
  <c r="AJ84" i="15"/>
  <c r="AJ150" i="15"/>
  <c r="AJ62" i="15"/>
  <c r="AJ126" i="15"/>
  <c r="AH26" i="15"/>
  <c r="AH58" i="15"/>
  <c r="AI58" i="15" s="1"/>
  <c r="AH90" i="15"/>
  <c r="AI90" i="15" s="1"/>
  <c r="AH122" i="15"/>
  <c r="AI122" i="15" s="1"/>
  <c r="AH154" i="15"/>
  <c r="AI154" i="15" s="1"/>
  <c r="AJ58" i="15"/>
  <c r="AJ122" i="15"/>
  <c r="AJ49" i="15"/>
  <c r="AJ86" i="15"/>
  <c r="G312" i="16"/>
  <c r="C330" i="16"/>
  <c r="AF67" i="15"/>
  <c r="AF147" i="15"/>
  <c r="AF53" i="15"/>
  <c r="AF141" i="15"/>
  <c r="AF45" i="15"/>
  <c r="AF158" i="15"/>
  <c r="AF125" i="15"/>
  <c r="AF99" i="15"/>
  <c r="AF35" i="15"/>
  <c r="AF128" i="15"/>
  <c r="AF51" i="15"/>
  <c r="AF109" i="15"/>
  <c r="AF22" i="15"/>
  <c r="AF93" i="15"/>
  <c r="AF91" i="15"/>
  <c r="AF68" i="15"/>
  <c r="AF132" i="15"/>
  <c r="AF142" i="15"/>
  <c r="AF85" i="15"/>
  <c r="AF126" i="15"/>
  <c r="AF123" i="15"/>
  <c r="AF107" i="15"/>
  <c r="AF52" i="15"/>
  <c r="AF116" i="15"/>
  <c r="AF86" i="15"/>
  <c r="AF157" i="15"/>
  <c r="AF43" i="15"/>
  <c r="AF117" i="15"/>
  <c r="AF70" i="15"/>
  <c r="AF83" i="15"/>
  <c r="AF133" i="15"/>
  <c r="AF134" i="15"/>
  <c r="AF59" i="15"/>
  <c r="AF155" i="15"/>
  <c r="AF29" i="15"/>
  <c r="AF14" i="15"/>
  <c r="AF19" i="15"/>
  <c r="AF77" i="15"/>
  <c r="AF150" i="15"/>
  <c r="AF54" i="15"/>
  <c r="AF102" i="15"/>
  <c r="AF94" i="15"/>
  <c r="AF30" i="15"/>
  <c r="AF101" i="15"/>
  <c r="AF27" i="15"/>
  <c r="AF11" i="15"/>
  <c r="AF21" i="15"/>
  <c r="AF135" i="15"/>
  <c r="AF152" i="15"/>
  <c r="AF156" i="15"/>
  <c r="AF160" i="15"/>
  <c r="AF36" i="15"/>
  <c r="AF100" i="15"/>
  <c r="AF139" i="15"/>
  <c r="AF121" i="15"/>
  <c r="AF69" i="15"/>
  <c r="AF62" i="15"/>
  <c r="AF61" i="15"/>
  <c r="AF46" i="15"/>
  <c r="AF131" i="15"/>
  <c r="AF115" i="15"/>
  <c r="AF47" i="15"/>
  <c r="AF111" i="15"/>
  <c r="AF110" i="15"/>
  <c r="AF64" i="15"/>
  <c r="AF76" i="15"/>
  <c r="AF140" i="15"/>
  <c r="AF38" i="15"/>
  <c r="AF20" i="15"/>
  <c r="AF84" i="15"/>
  <c r="AF37" i="15"/>
  <c r="AF55" i="15"/>
  <c r="AF119" i="15"/>
  <c r="AF16" i="15"/>
  <c r="AF80" i="15"/>
  <c r="AF144" i="15"/>
  <c r="AF25" i="15"/>
  <c r="AF89" i="15"/>
  <c r="AF153" i="15"/>
  <c r="AF58" i="15"/>
  <c r="AF122" i="15"/>
  <c r="AF15" i="15"/>
  <c r="AF79" i="15"/>
  <c r="AF60" i="15"/>
  <c r="AF124" i="15"/>
  <c r="AF63" i="15"/>
  <c r="AF127" i="15"/>
  <c r="AF24" i="15"/>
  <c r="AF88" i="15"/>
  <c r="AF33" i="15"/>
  <c r="AF97" i="15"/>
  <c r="AF66" i="15"/>
  <c r="AF130" i="15"/>
  <c r="AF71" i="15"/>
  <c r="AF32" i="15"/>
  <c r="AF96" i="15"/>
  <c r="AF41" i="15"/>
  <c r="AF105" i="15"/>
  <c r="AF74" i="15"/>
  <c r="AF138" i="15"/>
  <c r="AF143" i="15"/>
  <c r="AF40" i="15"/>
  <c r="AF104" i="15"/>
  <c r="AF49" i="15"/>
  <c r="AF113" i="15"/>
  <c r="AF18" i="15"/>
  <c r="AF82" i="15"/>
  <c r="AF146" i="15"/>
  <c r="AF148" i="15"/>
  <c r="AF23" i="15"/>
  <c r="AF87" i="15"/>
  <c r="AF48" i="15"/>
  <c r="AF112" i="15"/>
  <c r="AF57" i="15"/>
  <c r="AF26" i="15"/>
  <c r="AF90" i="15"/>
  <c r="AF154" i="15"/>
  <c r="AF28" i="15"/>
  <c r="AF92" i="15"/>
  <c r="AF31" i="15"/>
  <c r="AF95" i="15"/>
  <c r="AF56" i="15"/>
  <c r="AF120" i="15"/>
  <c r="AF65" i="15"/>
  <c r="AF129" i="15"/>
  <c r="AF34" i="15"/>
  <c r="AF98" i="15"/>
  <c r="AF39" i="15"/>
  <c r="AF103" i="15"/>
  <c r="AF73" i="15"/>
  <c r="AF137" i="15"/>
  <c r="AF42" i="15"/>
  <c r="AF106" i="15"/>
  <c r="AF44" i="15"/>
  <c r="AF108" i="15"/>
  <c r="AF72" i="15"/>
  <c r="AF136" i="15"/>
  <c r="AF17" i="15"/>
  <c r="AF81" i="15"/>
  <c r="AF145" i="15"/>
  <c r="AF50" i="15"/>
  <c r="AF114" i="15"/>
  <c r="AD153" i="15" l="1"/>
  <c r="AD89" i="15"/>
  <c r="AD137" i="15"/>
  <c r="AD73" i="15"/>
  <c r="AD121" i="15"/>
  <c r="AD148" i="15"/>
  <c r="AD105" i="15"/>
  <c r="AD132" i="15"/>
  <c r="AD52" i="15"/>
  <c r="AK157" i="15"/>
  <c r="AK125" i="15"/>
  <c r="AK153" i="15"/>
  <c r="AK62" i="15"/>
  <c r="AK138" i="15"/>
  <c r="AK110" i="15"/>
  <c r="AK126" i="15"/>
  <c r="AK79" i="15"/>
  <c r="AK141" i="15"/>
  <c r="AK142" i="15"/>
  <c r="AK108" i="15"/>
  <c r="AK47" i="15"/>
  <c r="AK15" i="15"/>
  <c r="AK156" i="15"/>
  <c r="AI15" i="15"/>
  <c r="AK20" i="15"/>
  <c r="AK75" i="15"/>
  <c r="AK160" i="15"/>
  <c r="AK129" i="15"/>
  <c r="AK148" i="15"/>
  <c r="AK152" i="15"/>
  <c r="AK154" i="15"/>
  <c r="AI148" i="15"/>
  <c r="AK113" i="15"/>
  <c r="AK31" i="15"/>
  <c r="AK86" i="15"/>
  <c r="AK26" i="15"/>
  <c r="AK104" i="15"/>
  <c r="AK40" i="15"/>
  <c r="AK51" i="15"/>
  <c r="AK33" i="15"/>
  <c r="AK28" i="15"/>
  <c r="AK90" i="15"/>
  <c r="AK56" i="15"/>
  <c r="AK84" i="15"/>
  <c r="AK96" i="15"/>
  <c r="AK101" i="15"/>
  <c r="AK69" i="15"/>
  <c r="AK50" i="15"/>
  <c r="AK144" i="15"/>
  <c r="AK76" i="15"/>
  <c r="AK102" i="15"/>
  <c r="AK52" i="15"/>
  <c r="AK82" i="15"/>
  <c r="AK23" i="15"/>
  <c r="AK123" i="15"/>
  <c r="AK85" i="15"/>
  <c r="AK55" i="15"/>
  <c r="AK39" i="15"/>
  <c r="AK57" i="15"/>
  <c r="AK133" i="15"/>
  <c r="AK116" i="15"/>
  <c r="AK83" i="15"/>
  <c r="AK92" i="15"/>
  <c r="AK107" i="15"/>
  <c r="AI55" i="15"/>
  <c r="AI133" i="15"/>
  <c r="AK58" i="15"/>
  <c r="AK150" i="15"/>
  <c r="AK117" i="15"/>
  <c r="AK94" i="15"/>
  <c r="AK63" i="15"/>
  <c r="AK64" i="15"/>
  <c r="AK106" i="15"/>
  <c r="AK35" i="15"/>
  <c r="AK70" i="15"/>
  <c r="AK120" i="15"/>
  <c r="AK118" i="15"/>
  <c r="AK151" i="15"/>
  <c r="AK136" i="15"/>
  <c r="AK67" i="15"/>
  <c r="AK109" i="15"/>
  <c r="AK60" i="15"/>
  <c r="AK128" i="15"/>
  <c r="AK72" i="15"/>
  <c r="AK37" i="15"/>
  <c r="AK111" i="15"/>
  <c r="AK12" i="15"/>
  <c r="AK71" i="15"/>
  <c r="AK66" i="15"/>
  <c r="AK32" i="15"/>
  <c r="AI51" i="15"/>
  <c r="AK122" i="15"/>
  <c r="AK149" i="15"/>
  <c r="AK14" i="15"/>
  <c r="AK21" i="15"/>
  <c r="AK17" i="15"/>
  <c r="AK103" i="15"/>
  <c r="AK87" i="15"/>
  <c r="AI26" i="15"/>
  <c r="AK99" i="15"/>
  <c r="AK146" i="15"/>
  <c r="AK158" i="15"/>
  <c r="AK65" i="15"/>
  <c r="AK43" i="15"/>
  <c r="AK91" i="15"/>
  <c r="AK74" i="15"/>
  <c r="AK135" i="15"/>
  <c r="AI92" i="15"/>
  <c r="AK114" i="15"/>
  <c r="AK137" i="15"/>
  <c r="AK119" i="15"/>
  <c r="AK25" i="15"/>
  <c r="AK24" i="15"/>
  <c r="AK11" i="15"/>
  <c r="AK115" i="15"/>
  <c r="AK30" i="15"/>
  <c r="AI82" i="15"/>
  <c r="AI43" i="15"/>
  <c r="AK44" i="15"/>
  <c r="AK112" i="15"/>
  <c r="AK155" i="15"/>
  <c r="AI14" i="15"/>
  <c r="AK49" i="15"/>
  <c r="AK80" i="15"/>
  <c r="AK38" i="15"/>
  <c r="AK124" i="15"/>
  <c r="AK18" i="15"/>
  <c r="AK143" i="15"/>
  <c r="AK45" i="15"/>
  <c r="AK140" i="15"/>
  <c r="AK145" i="15"/>
  <c r="AK48" i="15"/>
  <c r="AK27" i="15"/>
  <c r="AK134" i="15"/>
  <c r="AK53" i="15"/>
  <c r="AK42" i="15"/>
  <c r="AK95" i="15"/>
  <c r="AK61" i="15"/>
  <c r="AK54" i="15"/>
  <c r="AK73" i="15"/>
  <c r="AI42" i="15"/>
  <c r="AI38" i="15"/>
  <c r="AK131" i="15"/>
  <c r="AK97" i="15"/>
  <c r="AK88" i="15"/>
  <c r="AK89" i="15"/>
  <c r="AK16" i="15"/>
  <c r="AK29" i="15"/>
  <c r="AK68" i="15"/>
  <c r="AK93" i="15"/>
  <c r="AK130" i="15"/>
  <c r="AK147" i="15"/>
  <c r="AI73" i="15"/>
  <c r="AK41" i="15"/>
  <c r="AK46" i="15"/>
  <c r="AI37" i="15"/>
  <c r="AK81" i="15"/>
  <c r="AK132" i="15"/>
  <c r="AI124" i="15"/>
  <c r="AI45" i="15"/>
  <c r="AK105" i="15"/>
  <c r="AK127" i="15"/>
  <c r="AI25" i="15"/>
  <c r="AK159" i="15"/>
  <c r="AI24" i="15"/>
  <c r="AI11" i="15"/>
  <c r="AI147" i="15"/>
  <c r="AK139" i="15"/>
  <c r="AK59" i="15"/>
  <c r="AK121" i="15"/>
  <c r="AK19" i="15"/>
  <c r="AK100" i="15"/>
  <c r="AK13" i="15"/>
  <c r="AI70" i="15"/>
  <c r="AK36" i="15"/>
  <c r="AI69" i="15"/>
  <c r="AI155" i="15"/>
  <c r="AK98" i="15"/>
  <c r="AK34" i="15"/>
  <c r="AK78" i="15"/>
  <c r="AK22" i="15"/>
  <c r="AK77" i="15"/>
  <c r="B47" i="16"/>
  <c r="C4" i="16" s="1"/>
  <c r="G334" i="16"/>
  <c r="I3" i="16" l="1"/>
  <c r="G356" i="16"/>
  <c r="G378" i="16" l="1"/>
  <c r="AE76" i="16" l="1"/>
  <c r="AI70" i="16" l="1"/>
  <c r="AI87" i="16"/>
  <c r="G136" i="16" l="1"/>
  <c r="G224" i="16"/>
  <c r="G400" i="16"/>
  <c r="G422" i="16"/>
  <c r="G92" i="16"/>
  <c r="G114" i="16"/>
  <c r="F47" i="16" l="1"/>
  <c r="C5" i="16" s="1"/>
  <c r="I13" i="16" l="1"/>
  <c r="AW15" i="15"/>
  <c r="AX15" i="15" s="1"/>
  <c r="E5" i="16"/>
  <c r="K244" i="16"/>
  <c r="J47" i="16" s="1"/>
  <c r="C6" i="16" s="1"/>
  <c r="I23" i="16" s="1"/>
  <c r="G12" i="16" l="1"/>
  <c r="I12" i="16" s="1"/>
  <c r="G10" i="16"/>
  <c r="I10" i="16" s="1"/>
  <c r="G4" i="16"/>
  <c r="I4" i="16" s="1"/>
  <c r="G11" i="16"/>
  <c r="I11" i="16" s="1"/>
  <c r="G9" i="16"/>
  <c r="I9" i="16" s="1"/>
  <c r="G7" i="16"/>
  <c r="I7" i="16" s="1"/>
  <c r="G8" i="16"/>
  <c r="I8" i="16" s="1"/>
  <c r="G6" i="16"/>
  <c r="I6" i="16" s="1"/>
  <c r="G5" i="16"/>
  <c r="I5" i="16" s="1"/>
  <c r="E6" i="16"/>
  <c r="BA6" i="15"/>
  <c r="P156" i="16"/>
  <c r="AE171" i="16"/>
  <c r="AE194" i="16"/>
  <c r="AE217" i="16"/>
  <c r="AE244" i="16"/>
  <c r="AE267" i="16"/>
  <c r="AE290" i="16"/>
  <c r="AE317" i="16"/>
  <c r="AE340" i="16"/>
  <c r="AE363" i="16"/>
  <c r="AE391" i="16"/>
  <c r="AE414" i="16"/>
  <c r="AI161" i="16"/>
  <c r="AI181" i="16"/>
  <c r="AD47" i="16" l="1"/>
  <c r="W6" i="16" s="1"/>
  <c r="G14" i="16"/>
  <c r="I14" i="16" s="1"/>
  <c r="G15" i="16"/>
  <c r="I15" i="16" s="1"/>
  <c r="G16" i="16"/>
  <c r="I16" i="16" s="1"/>
  <c r="G17" i="16"/>
  <c r="I17" i="16" s="1"/>
  <c r="G18" i="16"/>
  <c r="I18" i="16" s="1"/>
  <c r="G19" i="16"/>
  <c r="I19" i="16" s="1"/>
  <c r="G20" i="16"/>
  <c r="I20" i="16" s="1"/>
  <c r="AQ15" i="15" s="1"/>
  <c r="AR15" i="15" s="1"/>
  <c r="G22" i="16"/>
  <c r="I22" i="16" s="1"/>
  <c r="G21" i="16"/>
  <c r="I21" i="16" s="1"/>
  <c r="AI198" i="16"/>
  <c r="AI219" i="16"/>
  <c r="AI239" i="16"/>
  <c r="AI256" i="16"/>
  <c r="AI293" i="16"/>
  <c r="AI313" i="16"/>
  <c r="AI330" i="16"/>
  <c r="AI350" i="16"/>
  <c r="AI367" i="16"/>
  <c r="AI388" i="16"/>
  <c r="AI405" i="16"/>
  <c r="AI424" i="16"/>
  <c r="AM66" i="16"/>
  <c r="C12" i="15" l="1"/>
  <c r="C14" i="15"/>
  <c r="C16" i="15"/>
  <c r="C18" i="15"/>
  <c r="C20" i="15"/>
  <c r="C22" i="15"/>
  <c r="C13" i="15"/>
  <c r="C15" i="15"/>
  <c r="C17" i="15"/>
  <c r="C19" i="15"/>
  <c r="C21" i="15"/>
  <c r="C23" i="15"/>
  <c r="C25" i="15"/>
  <c r="C27" i="15"/>
  <c r="C29" i="15"/>
  <c r="C31" i="15"/>
  <c r="C33" i="15"/>
  <c r="C35" i="15"/>
  <c r="C37" i="15"/>
  <c r="C39" i="15"/>
  <c r="C41" i="15"/>
  <c r="C43" i="15"/>
  <c r="C45" i="15"/>
  <c r="C47" i="15"/>
  <c r="C36" i="15"/>
  <c r="C51" i="15"/>
  <c r="C54" i="15"/>
  <c r="C59" i="15"/>
  <c r="C62" i="15"/>
  <c r="C67" i="15"/>
  <c r="C70" i="15"/>
  <c r="C75" i="15"/>
  <c r="C78" i="15"/>
  <c r="C83" i="15"/>
  <c r="C86" i="15"/>
  <c r="C91" i="15"/>
  <c r="C94" i="15"/>
  <c r="C30" i="15"/>
  <c r="C46" i="15"/>
  <c r="C24" i="15"/>
  <c r="C40" i="15"/>
  <c r="C49" i="15"/>
  <c r="C52" i="15"/>
  <c r="C57" i="15"/>
  <c r="C60" i="15"/>
  <c r="C65" i="15"/>
  <c r="C68" i="15"/>
  <c r="C73" i="15"/>
  <c r="C76" i="15"/>
  <c r="C81" i="15"/>
  <c r="C84" i="15"/>
  <c r="C89" i="15"/>
  <c r="C92" i="15"/>
  <c r="C97" i="15"/>
  <c r="C99" i="15"/>
  <c r="C34" i="15"/>
  <c r="C28" i="15"/>
  <c r="C44" i="15"/>
  <c r="C50" i="15"/>
  <c r="C55" i="15"/>
  <c r="C58" i="15"/>
  <c r="C63" i="15"/>
  <c r="C66" i="15"/>
  <c r="C71" i="15"/>
  <c r="C74" i="15"/>
  <c r="C79" i="15"/>
  <c r="C82" i="15"/>
  <c r="C87" i="15"/>
  <c r="C90" i="15"/>
  <c r="C95" i="15"/>
  <c r="C38" i="15"/>
  <c r="C26" i="15"/>
  <c r="C98" i="15"/>
  <c r="C122" i="15"/>
  <c r="C129" i="15"/>
  <c r="C141" i="15"/>
  <c r="C149" i="15"/>
  <c r="C153" i="15"/>
  <c r="C158" i="15"/>
  <c r="C104" i="15"/>
  <c r="C105" i="15"/>
  <c r="C112" i="15"/>
  <c r="C113" i="15"/>
  <c r="C114" i="15"/>
  <c r="C115" i="15"/>
  <c r="C116" i="15"/>
  <c r="C117" i="15"/>
  <c r="C118" i="15"/>
  <c r="C119" i="15"/>
  <c r="C120" i="15"/>
  <c r="C127" i="15"/>
  <c r="C131" i="15"/>
  <c r="C143" i="15"/>
  <c r="C155" i="15"/>
  <c r="C159" i="15"/>
  <c r="C121" i="15"/>
  <c r="C125" i="15"/>
  <c r="C135" i="15"/>
  <c r="C139" i="15"/>
  <c r="C147" i="15"/>
  <c r="C151" i="15"/>
  <c r="C48" i="15"/>
  <c r="C53" i="15"/>
  <c r="C64" i="15"/>
  <c r="C69" i="15"/>
  <c r="C80" i="15"/>
  <c r="C85" i="15"/>
  <c r="C96" i="15"/>
  <c r="C102" i="15"/>
  <c r="C103" i="15"/>
  <c r="C110" i="15"/>
  <c r="C111" i="15"/>
  <c r="C133" i="15"/>
  <c r="C137" i="15"/>
  <c r="C145" i="15"/>
  <c r="C157" i="15"/>
  <c r="C148" i="15"/>
  <c r="C150" i="15"/>
  <c r="C32" i="15"/>
  <c r="C100" i="15"/>
  <c r="C101" i="15"/>
  <c r="C108" i="15"/>
  <c r="C109" i="15"/>
  <c r="C123" i="15"/>
  <c r="C156" i="15"/>
  <c r="C42" i="15"/>
  <c r="C128" i="15"/>
  <c r="C130" i="15"/>
  <c r="C132" i="15"/>
  <c r="C134" i="15"/>
  <c r="C140" i="15"/>
  <c r="C144" i="15"/>
  <c r="C152" i="15"/>
  <c r="C154" i="15"/>
  <c r="C160" i="15"/>
  <c r="C56" i="15"/>
  <c r="C61" i="15"/>
  <c r="C72" i="15"/>
  <c r="C77" i="15"/>
  <c r="C88" i="15"/>
  <c r="C93" i="15"/>
  <c r="C106" i="15"/>
  <c r="C107" i="15"/>
  <c r="C124" i="15"/>
  <c r="C126" i="15"/>
  <c r="C136" i="15"/>
  <c r="C138" i="15"/>
  <c r="C142" i="15"/>
  <c r="C146" i="15"/>
  <c r="BQ23" i="16"/>
  <c r="C11" i="15"/>
  <c r="Y6" i="16"/>
  <c r="AC23" i="16"/>
  <c r="AH47" i="16"/>
  <c r="W7" i="16" s="1"/>
  <c r="AM141" i="16"/>
  <c r="AM221" i="16"/>
  <c r="AM236" i="16"/>
  <c r="AM312" i="16"/>
  <c r="AM327" i="16"/>
  <c r="AM392" i="16"/>
  <c r="AM407" i="16"/>
  <c r="AM422" i="16"/>
  <c r="BQ33" i="16" l="1"/>
  <c r="BO15" i="16"/>
  <c r="BQ15" i="16" s="1"/>
  <c r="BO20" i="16"/>
  <c r="BQ20" i="16" s="1"/>
  <c r="BO17" i="16"/>
  <c r="BQ17" i="16" s="1"/>
  <c r="BO22" i="16"/>
  <c r="BQ22" i="16" s="1"/>
  <c r="BO14" i="16"/>
  <c r="BQ14" i="16" s="1"/>
  <c r="BO19" i="16"/>
  <c r="BQ19" i="16" s="1"/>
  <c r="BO18" i="16"/>
  <c r="BQ18" i="16" s="1"/>
  <c r="BO16" i="16"/>
  <c r="BQ16" i="16" s="1"/>
  <c r="BO21" i="16"/>
  <c r="BQ21" i="16" s="1"/>
  <c r="AA22" i="16"/>
  <c r="AC22" i="16" s="1"/>
  <c r="AA18" i="16"/>
  <c r="AC18" i="16" s="1"/>
  <c r="AA19" i="16"/>
  <c r="AC19" i="16" s="1"/>
  <c r="AA21" i="16"/>
  <c r="AC21" i="16" s="1"/>
  <c r="AA17" i="16"/>
  <c r="AC17" i="16" s="1"/>
  <c r="AA14" i="16"/>
  <c r="AC14" i="16" s="1"/>
  <c r="AA16" i="16"/>
  <c r="AC16" i="16" s="1"/>
  <c r="AA15" i="16"/>
  <c r="AC15" i="16" s="1"/>
  <c r="AA20" i="16"/>
  <c r="AC20" i="16" s="1"/>
  <c r="AQ22" i="15" s="1"/>
  <c r="AR22" i="15" s="1"/>
  <c r="Y7" i="16"/>
  <c r="AC33" i="16"/>
  <c r="AL47" i="16"/>
  <c r="W8" i="16" s="1"/>
  <c r="P165" i="16"/>
  <c r="P178" i="16"/>
  <c r="P215" i="16"/>
  <c r="P284" i="16"/>
  <c r="D12" i="15" l="1"/>
  <c r="D13" i="15"/>
  <c r="D26" i="15"/>
  <c r="D29" i="15"/>
  <c r="P29" i="15" s="1"/>
  <c r="Q29" i="15" s="1"/>
  <c r="AA29" i="15" s="1"/>
  <c r="D42" i="15"/>
  <c r="P42" i="15" s="1"/>
  <c r="Q42" i="15" s="1"/>
  <c r="W42" i="15" s="1"/>
  <c r="D45" i="15"/>
  <c r="P45" i="15" s="1"/>
  <c r="Q45" i="15" s="1"/>
  <c r="W45" i="15" s="1"/>
  <c r="D15" i="15"/>
  <c r="P15" i="15" s="1"/>
  <c r="Q15" i="15" s="1"/>
  <c r="AA15" i="15" s="1"/>
  <c r="D19" i="15"/>
  <c r="P19" i="15" s="1"/>
  <c r="Q19" i="15" s="1"/>
  <c r="AA19" i="15" s="1"/>
  <c r="D23" i="15"/>
  <c r="D36" i="15"/>
  <c r="D39" i="15"/>
  <c r="D51" i="15"/>
  <c r="P51" i="15" s="1"/>
  <c r="Q51" i="15" s="1"/>
  <c r="U51" i="15" s="1"/>
  <c r="D54" i="15"/>
  <c r="D59" i="15"/>
  <c r="P59" i="15" s="1"/>
  <c r="Q59" i="15" s="1"/>
  <c r="Y59" i="15" s="1"/>
  <c r="D62" i="15"/>
  <c r="P62" i="15" s="1"/>
  <c r="D67" i="15"/>
  <c r="P67" i="15" s="1"/>
  <c r="Q67" i="15" s="1"/>
  <c r="Y67" i="15" s="1"/>
  <c r="D70" i="15"/>
  <c r="P70" i="15" s="1"/>
  <c r="D75" i="15"/>
  <c r="D78" i="15"/>
  <c r="D83" i="15"/>
  <c r="P83" i="15" s="1"/>
  <c r="Q83" i="15" s="1"/>
  <c r="AA83" i="15" s="1"/>
  <c r="D86" i="15"/>
  <c r="P86" i="15" s="1"/>
  <c r="Q86" i="15" s="1"/>
  <c r="S86" i="15" s="1"/>
  <c r="D91" i="15"/>
  <c r="P91" i="15" s="1"/>
  <c r="Q91" i="15" s="1"/>
  <c r="S91" i="15" s="1"/>
  <c r="D94" i="15"/>
  <c r="P94" i="15" s="1"/>
  <c r="Q94" i="15" s="1"/>
  <c r="AA94" i="15" s="1"/>
  <c r="D16" i="15"/>
  <c r="P16" i="15" s="1"/>
  <c r="Q16" i="15" s="1"/>
  <c r="Y16" i="15" s="1"/>
  <c r="D20" i="15"/>
  <c r="D30" i="15"/>
  <c r="D33" i="15"/>
  <c r="D46" i="15"/>
  <c r="P46" i="15" s="1"/>
  <c r="Q46" i="15" s="1"/>
  <c r="D24" i="15"/>
  <c r="P24" i="15" s="1"/>
  <c r="Q24" i="15" s="1"/>
  <c r="S24" i="15" s="1"/>
  <c r="D27" i="15"/>
  <c r="P27" i="15" s="1"/>
  <c r="Q27" i="15" s="1"/>
  <c r="AA27" i="15" s="1"/>
  <c r="D40" i="15"/>
  <c r="P40" i="15" s="1"/>
  <c r="Q40" i="15" s="1"/>
  <c r="W40" i="15" s="1"/>
  <c r="D43" i="15"/>
  <c r="P43" i="15" s="1"/>
  <c r="Q43" i="15" s="1"/>
  <c r="D49" i="15"/>
  <c r="D52" i="15"/>
  <c r="D57" i="15"/>
  <c r="D60" i="15"/>
  <c r="P60" i="15" s="1"/>
  <c r="Q60" i="15" s="1"/>
  <c r="U60" i="15" s="1"/>
  <c r="D65" i="15"/>
  <c r="P65" i="15" s="1"/>
  <c r="Q65" i="15" s="1"/>
  <c r="Y65" i="15" s="1"/>
  <c r="D68" i="15"/>
  <c r="P68" i="15" s="1"/>
  <c r="Q68" i="15" s="1"/>
  <c r="Y68" i="15" s="1"/>
  <c r="D73" i="15"/>
  <c r="P73" i="15" s="1"/>
  <c r="Q73" i="15" s="1"/>
  <c r="D76" i="15"/>
  <c r="P76" i="15" s="1"/>
  <c r="Q76" i="15" s="1"/>
  <c r="S76" i="15" s="1"/>
  <c r="D81" i="15"/>
  <c r="P81" i="15" s="1"/>
  <c r="Q81" i="15" s="1"/>
  <c r="AA81" i="15" s="1"/>
  <c r="D84" i="15"/>
  <c r="P84" i="15" s="1"/>
  <c r="Q84" i="15" s="1"/>
  <c r="Y84" i="15" s="1"/>
  <c r="D89" i="15"/>
  <c r="D92" i="15"/>
  <c r="P92" i="15" s="1"/>
  <c r="Q92" i="15" s="1"/>
  <c r="W92" i="15" s="1"/>
  <c r="D97" i="15"/>
  <c r="P97" i="15" s="1"/>
  <c r="Q97" i="15" s="1"/>
  <c r="W97" i="15" s="1"/>
  <c r="D99" i="15"/>
  <c r="P99" i="15" s="1"/>
  <c r="Q99" i="15" s="1"/>
  <c r="U99" i="15" s="1"/>
  <c r="D101" i="15"/>
  <c r="P101" i="15" s="1"/>
  <c r="Q101" i="15" s="1"/>
  <c r="U101" i="15" s="1"/>
  <c r="D103" i="15"/>
  <c r="P103" i="15" s="1"/>
  <c r="Q103" i="15" s="1"/>
  <c r="S103" i="15" s="1"/>
  <c r="D105" i="15"/>
  <c r="D107" i="15"/>
  <c r="D109" i="15"/>
  <c r="P109" i="15" s="1"/>
  <c r="Q109" i="15" s="1"/>
  <c r="U109" i="15" s="1"/>
  <c r="D111" i="15"/>
  <c r="P111" i="15" s="1"/>
  <c r="Q111" i="15" s="1"/>
  <c r="Y111" i="15" s="1"/>
  <c r="D113" i="15"/>
  <c r="P113" i="15" s="1"/>
  <c r="Q113" i="15" s="1"/>
  <c r="S113" i="15" s="1"/>
  <c r="D115" i="15"/>
  <c r="P115" i="15" s="1"/>
  <c r="Q115" i="15" s="1"/>
  <c r="U115" i="15" s="1"/>
  <c r="D117" i="15"/>
  <c r="P117" i="15" s="1"/>
  <c r="Q117" i="15" s="1"/>
  <c r="W117" i="15" s="1"/>
  <c r="D119" i="15"/>
  <c r="P119" i="15" s="1"/>
  <c r="Q119" i="15" s="1"/>
  <c r="D121" i="15"/>
  <c r="P121" i="15" s="1"/>
  <c r="Q121" i="15" s="1"/>
  <c r="D123" i="15"/>
  <c r="D34" i="15"/>
  <c r="P34" i="15" s="1"/>
  <c r="Q34" i="15" s="1"/>
  <c r="Y34" i="15" s="1"/>
  <c r="D37" i="15"/>
  <c r="P37" i="15" s="1"/>
  <c r="Q37" i="15" s="1"/>
  <c r="AA37" i="15" s="1"/>
  <c r="D17" i="15"/>
  <c r="P17" i="15" s="1"/>
  <c r="Q17" i="15" s="1"/>
  <c r="W17" i="15" s="1"/>
  <c r="D21" i="15"/>
  <c r="P21" i="15" s="1"/>
  <c r="Q21" i="15" s="1"/>
  <c r="S21" i="15" s="1"/>
  <c r="D28" i="15"/>
  <c r="P28" i="15" s="1"/>
  <c r="Q28" i="15" s="1"/>
  <c r="D31" i="15"/>
  <c r="P31" i="15" s="1"/>
  <c r="Q31" i="15" s="1"/>
  <c r="S31" i="15" s="1"/>
  <c r="D44" i="15"/>
  <c r="P44" i="15" s="1"/>
  <c r="Q44" i="15" s="1"/>
  <c r="D47" i="15"/>
  <c r="D50" i="15"/>
  <c r="D55" i="15"/>
  <c r="P55" i="15" s="1"/>
  <c r="Q55" i="15" s="1"/>
  <c r="D58" i="15"/>
  <c r="P58" i="15" s="1"/>
  <c r="Q58" i="15" s="1"/>
  <c r="Y58" i="15" s="1"/>
  <c r="D63" i="15"/>
  <c r="P63" i="15" s="1"/>
  <c r="Q63" i="15" s="1"/>
  <c r="W63" i="15" s="1"/>
  <c r="D66" i="15"/>
  <c r="P66" i="15" s="1"/>
  <c r="Q66" i="15" s="1"/>
  <c r="Y66" i="15" s="1"/>
  <c r="D71" i="15"/>
  <c r="P71" i="15" s="1"/>
  <c r="Q71" i="15" s="1"/>
  <c r="Y71" i="15" s="1"/>
  <c r="D74" i="15"/>
  <c r="P74" i="15" s="1"/>
  <c r="Q74" i="15" s="1"/>
  <c r="AA74" i="15" s="1"/>
  <c r="D79" i="15"/>
  <c r="D82" i="15"/>
  <c r="P82" i="15" s="1"/>
  <c r="Q82" i="15" s="1"/>
  <c r="D87" i="15"/>
  <c r="P87" i="15" s="1"/>
  <c r="Q87" i="15" s="1"/>
  <c r="U87" i="15" s="1"/>
  <c r="D90" i="15"/>
  <c r="P90" i="15" s="1"/>
  <c r="Q90" i="15" s="1"/>
  <c r="Y90" i="15" s="1"/>
  <c r="D95" i="15"/>
  <c r="P95" i="15" s="1"/>
  <c r="Q95" i="15" s="1"/>
  <c r="D25" i="15"/>
  <c r="P25" i="15" s="1"/>
  <c r="Q25" i="15" s="1"/>
  <c r="S25" i="15" s="1"/>
  <c r="D56" i="15"/>
  <c r="P56" i="15" s="1"/>
  <c r="Q56" i="15" s="1"/>
  <c r="Y56" i="15" s="1"/>
  <c r="D61" i="15"/>
  <c r="P61" i="15" s="1"/>
  <c r="Q61" i="15" s="1"/>
  <c r="Y61" i="15" s="1"/>
  <c r="D72" i="15"/>
  <c r="D77" i="15"/>
  <c r="P77" i="15" s="1"/>
  <c r="Q77" i="15" s="1"/>
  <c r="AA77" i="15" s="1"/>
  <c r="D88" i="15"/>
  <c r="P88" i="15" s="1"/>
  <c r="Q88" i="15" s="1"/>
  <c r="Y88" i="15" s="1"/>
  <c r="D93" i="15"/>
  <c r="P93" i="15" s="1"/>
  <c r="Q93" i="15" s="1"/>
  <c r="S93" i="15" s="1"/>
  <c r="D106" i="15"/>
  <c r="P106" i="15" s="1"/>
  <c r="Q106" i="15" s="1"/>
  <c r="W106" i="15" s="1"/>
  <c r="D124" i="15"/>
  <c r="P124" i="15" s="1"/>
  <c r="Q124" i="15" s="1"/>
  <c r="D126" i="15"/>
  <c r="P126" i="15" s="1"/>
  <c r="Q126" i="15" s="1"/>
  <c r="W126" i="15" s="1"/>
  <c r="D128" i="15"/>
  <c r="P128" i="15" s="1"/>
  <c r="Q128" i="15" s="1"/>
  <c r="W128" i="15" s="1"/>
  <c r="D130" i="15"/>
  <c r="D132" i="15"/>
  <c r="D134" i="15"/>
  <c r="P134" i="15" s="1"/>
  <c r="Q134" i="15" s="1"/>
  <c r="W134" i="15" s="1"/>
  <c r="D136" i="15"/>
  <c r="P136" i="15" s="1"/>
  <c r="Q136" i="15" s="1"/>
  <c r="D138" i="15"/>
  <c r="P138" i="15" s="1"/>
  <c r="Q138" i="15" s="1"/>
  <c r="W138" i="15" s="1"/>
  <c r="D140" i="15"/>
  <c r="P140" i="15" s="1"/>
  <c r="Q140" i="15" s="1"/>
  <c r="S140" i="15" s="1"/>
  <c r="D142" i="15"/>
  <c r="P142" i="15" s="1"/>
  <c r="Q142" i="15" s="1"/>
  <c r="AA142" i="15" s="1"/>
  <c r="D144" i="15"/>
  <c r="P144" i="15" s="1"/>
  <c r="Q144" i="15" s="1"/>
  <c r="S144" i="15" s="1"/>
  <c r="D146" i="15"/>
  <c r="D148" i="15"/>
  <c r="P148" i="15" s="1"/>
  <c r="Q148" i="15" s="1"/>
  <c r="D150" i="15"/>
  <c r="P150" i="15" s="1"/>
  <c r="Q150" i="15" s="1"/>
  <c r="U150" i="15" s="1"/>
  <c r="D152" i="15"/>
  <c r="P152" i="15" s="1"/>
  <c r="Q152" i="15" s="1"/>
  <c r="S152" i="15" s="1"/>
  <c r="D154" i="15"/>
  <c r="P154" i="15" s="1"/>
  <c r="Q154" i="15" s="1"/>
  <c r="W154" i="15" s="1"/>
  <c r="D156" i="15"/>
  <c r="P156" i="15" s="1"/>
  <c r="Q156" i="15" s="1"/>
  <c r="U156" i="15" s="1"/>
  <c r="D158" i="15"/>
  <c r="P158" i="15" s="1"/>
  <c r="Q158" i="15" s="1"/>
  <c r="W158" i="15" s="1"/>
  <c r="D160" i="15"/>
  <c r="P160" i="15" s="1"/>
  <c r="Q160" i="15" s="1"/>
  <c r="W160" i="15" s="1"/>
  <c r="D35" i="15"/>
  <c r="P35" i="15" s="1"/>
  <c r="Q35" i="15" s="1"/>
  <c r="D98" i="15"/>
  <c r="P98" i="15" s="1"/>
  <c r="Q98" i="15" s="1"/>
  <c r="D104" i="15"/>
  <c r="P104" i="15" s="1"/>
  <c r="Q104" i="15" s="1"/>
  <c r="Y104" i="15" s="1"/>
  <c r="D112" i="15"/>
  <c r="P112" i="15" s="1"/>
  <c r="Q112" i="15" s="1"/>
  <c r="U112" i="15" s="1"/>
  <c r="D114" i="15"/>
  <c r="P114" i="15" s="1"/>
  <c r="Q114" i="15" s="1"/>
  <c r="W114" i="15" s="1"/>
  <c r="D116" i="15"/>
  <c r="P116" i="15" s="1"/>
  <c r="Q116" i="15" s="1"/>
  <c r="Y116" i="15" s="1"/>
  <c r="D118" i="15"/>
  <c r="P118" i="15" s="1"/>
  <c r="Q118" i="15" s="1"/>
  <c r="D120" i="15"/>
  <c r="D14" i="15"/>
  <c r="P14" i="15" s="1"/>
  <c r="D38" i="15"/>
  <c r="P38" i="15" s="1"/>
  <c r="D18" i="15"/>
  <c r="P18" i="15" s="1"/>
  <c r="Q18" i="15" s="1"/>
  <c r="W18" i="15" s="1"/>
  <c r="D48" i="15"/>
  <c r="P48" i="15" s="1"/>
  <c r="Q48" i="15" s="1"/>
  <c r="S48" i="15" s="1"/>
  <c r="D53" i="15"/>
  <c r="P53" i="15" s="1"/>
  <c r="Q53" i="15" s="1"/>
  <c r="AA53" i="15" s="1"/>
  <c r="D64" i="15"/>
  <c r="P64" i="15" s="1"/>
  <c r="Q64" i="15" s="1"/>
  <c r="S64" i="15" s="1"/>
  <c r="D69" i="15"/>
  <c r="P69" i="15" s="1"/>
  <c r="Q69" i="15" s="1"/>
  <c r="U69" i="15" s="1"/>
  <c r="D80" i="15"/>
  <c r="P80" i="15" s="1"/>
  <c r="Q80" i="15" s="1"/>
  <c r="Y80" i="15" s="1"/>
  <c r="D85" i="15"/>
  <c r="P85" i="15" s="1"/>
  <c r="Q85" i="15" s="1"/>
  <c r="D96" i="15"/>
  <c r="P96" i="15" s="1"/>
  <c r="Q96" i="15" s="1"/>
  <c r="W96" i="15" s="1"/>
  <c r="D102" i="15"/>
  <c r="P102" i="15" s="1"/>
  <c r="Q102" i="15" s="1"/>
  <c r="D110" i="15"/>
  <c r="P110" i="15" s="1"/>
  <c r="Q110" i="15" s="1"/>
  <c r="W110" i="15" s="1"/>
  <c r="D122" i="15"/>
  <c r="P122" i="15" s="1"/>
  <c r="Q122" i="15" s="1"/>
  <c r="Y122" i="15" s="1"/>
  <c r="D125" i="15"/>
  <c r="P125" i="15" s="1"/>
  <c r="Q125" i="15" s="1"/>
  <c r="Y125" i="15" s="1"/>
  <c r="D127" i="15"/>
  <c r="P127" i="15" s="1"/>
  <c r="Q127" i="15" s="1"/>
  <c r="U127" i="15" s="1"/>
  <c r="D129" i="15"/>
  <c r="P129" i="15" s="1"/>
  <c r="Q129" i="15" s="1"/>
  <c r="U129" i="15" s="1"/>
  <c r="D131" i="15"/>
  <c r="P131" i="15" s="1"/>
  <c r="Q131" i="15" s="1"/>
  <c r="Y131" i="15" s="1"/>
  <c r="D133" i="15"/>
  <c r="P133" i="15" s="1"/>
  <c r="Q133" i="15" s="1"/>
  <c r="D135" i="15"/>
  <c r="P135" i="15" s="1"/>
  <c r="Q135" i="15" s="1"/>
  <c r="S135" i="15" s="1"/>
  <c r="D137" i="15"/>
  <c r="P137" i="15" s="1"/>
  <c r="Q137" i="15" s="1"/>
  <c r="U137" i="15" s="1"/>
  <c r="D139" i="15"/>
  <c r="P139" i="15" s="1"/>
  <c r="Q139" i="15" s="1"/>
  <c r="W139" i="15" s="1"/>
  <c r="D141" i="15"/>
  <c r="P141" i="15" s="1"/>
  <c r="Q141" i="15" s="1"/>
  <c r="W141" i="15" s="1"/>
  <c r="D143" i="15"/>
  <c r="P143" i="15" s="1"/>
  <c r="Q143" i="15" s="1"/>
  <c r="U143" i="15" s="1"/>
  <c r="D145" i="15"/>
  <c r="P145" i="15" s="1"/>
  <c r="Q145" i="15" s="1"/>
  <c r="D147" i="15"/>
  <c r="D149" i="15"/>
  <c r="P149" i="15" s="1"/>
  <c r="Q149" i="15" s="1"/>
  <c r="Y149" i="15" s="1"/>
  <c r="D151" i="15"/>
  <c r="P151" i="15" s="1"/>
  <c r="Q151" i="15" s="1"/>
  <c r="AA151" i="15" s="1"/>
  <c r="D153" i="15"/>
  <c r="P153" i="15" s="1"/>
  <c r="Q153" i="15" s="1"/>
  <c r="Y153" i="15" s="1"/>
  <c r="D155" i="15"/>
  <c r="P155" i="15" s="1"/>
  <c r="Q155" i="15" s="1"/>
  <c r="U155" i="15" s="1"/>
  <c r="D157" i="15"/>
  <c r="P157" i="15" s="1"/>
  <c r="Q157" i="15" s="1"/>
  <c r="U157" i="15" s="1"/>
  <c r="D159" i="15"/>
  <c r="P159" i="15" s="1"/>
  <c r="Q159" i="15" s="1"/>
  <c r="AA159" i="15" s="1"/>
  <c r="D22" i="15"/>
  <c r="P22" i="15" s="1"/>
  <c r="D32" i="15"/>
  <c r="P32" i="15" s="1"/>
  <c r="Q32" i="15" s="1"/>
  <c r="W32" i="15" s="1"/>
  <c r="D41" i="15"/>
  <c r="P41" i="15" s="1"/>
  <c r="Q41" i="15" s="1"/>
  <c r="D100" i="15"/>
  <c r="P100" i="15" s="1"/>
  <c r="Q100" i="15" s="1"/>
  <c r="W100" i="15" s="1"/>
  <c r="D108" i="15"/>
  <c r="P108" i="15" s="1"/>
  <c r="Q108" i="15" s="1"/>
  <c r="W108" i="15" s="1"/>
  <c r="BO26" i="16"/>
  <c r="BQ26" i="16" s="1"/>
  <c r="BO31" i="16"/>
  <c r="BQ31" i="16" s="1"/>
  <c r="BO28" i="16"/>
  <c r="BQ28" i="16" s="1"/>
  <c r="BO25" i="16"/>
  <c r="BQ25" i="16" s="1"/>
  <c r="BO30" i="16"/>
  <c r="BQ30" i="16" s="1"/>
  <c r="BO27" i="16"/>
  <c r="BQ27" i="16" s="1"/>
  <c r="BO29" i="16"/>
  <c r="BQ29" i="16" s="1"/>
  <c r="BO32" i="16"/>
  <c r="BQ32" i="16" s="1"/>
  <c r="BO24" i="16"/>
  <c r="BQ24" i="16" s="1"/>
  <c r="P54" i="15"/>
  <c r="AA26" i="16"/>
  <c r="AC26" i="16" s="1"/>
  <c r="P57" i="15"/>
  <c r="Q57" i="15" s="1"/>
  <c r="Y57" i="15" s="1"/>
  <c r="P130" i="15"/>
  <c r="Q130" i="15" s="1"/>
  <c r="P50" i="15"/>
  <c r="Q50" i="15" s="1"/>
  <c r="P23" i="15"/>
  <c r="Q23" i="15" s="1"/>
  <c r="U23" i="15" s="1"/>
  <c r="AA24" i="16"/>
  <c r="AC24" i="16" s="1"/>
  <c r="P72" i="15"/>
  <c r="Q72" i="15" s="1"/>
  <c r="S72" i="15" s="1"/>
  <c r="AA25" i="16"/>
  <c r="AC25" i="16" s="1"/>
  <c r="P123" i="15"/>
  <c r="Q123" i="15" s="1"/>
  <c r="Y123" i="15" s="1"/>
  <c r="AA29" i="16"/>
  <c r="AC29" i="16" s="1"/>
  <c r="P147" i="15"/>
  <c r="Q147" i="15" s="1"/>
  <c r="P12" i="15"/>
  <c r="Q12" i="15" s="1"/>
  <c r="S12" i="15" s="1"/>
  <c r="P13" i="15"/>
  <c r="Q13" i="15" s="1"/>
  <c r="P146" i="15"/>
  <c r="Q146" i="15" s="1"/>
  <c r="Y146" i="15" s="1"/>
  <c r="P107" i="15"/>
  <c r="Q107" i="15" s="1"/>
  <c r="P105" i="15"/>
  <c r="Q105" i="15" s="1"/>
  <c r="S105" i="15" s="1"/>
  <c r="P132" i="15"/>
  <c r="Q132" i="15" s="1"/>
  <c r="P49" i="15"/>
  <c r="Q49" i="15" s="1"/>
  <c r="S49" i="15" s="1"/>
  <c r="P39" i="15"/>
  <c r="Q39" i="15" s="1"/>
  <c r="U39" i="15" s="1"/>
  <c r="P30" i="15"/>
  <c r="Q30" i="15" s="1"/>
  <c r="U30" i="15" s="1"/>
  <c r="P78" i="15"/>
  <c r="P36" i="15"/>
  <c r="Q36" i="15" s="1"/>
  <c r="W36" i="15" s="1"/>
  <c r="P79" i="15"/>
  <c r="Q79" i="15" s="1"/>
  <c r="P75" i="15"/>
  <c r="Q75" i="15" s="1"/>
  <c r="P52" i="15"/>
  <c r="Q52" i="15" s="1"/>
  <c r="Y52" i="15" s="1"/>
  <c r="D11" i="15"/>
  <c r="AA32" i="16"/>
  <c r="AC32" i="16" s="1"/>
  <c r="AA31" i="16"/>
  <c r="AC31" i="16" s="1"/>
  <c r="P26" i="15"/>
  <c r="Q26" i="15" s="1"/>
  <c r="AA26" i="15" s="1"/>
  <c r="P47" i="15"/>
  <c r="Q47" i="15" s="1"/>
  <c r="P120" i="15"/>
  <c r="Q120" i="15" s="1"/>
  <c r="P20" i="15"/>
  <c r="Q20" i="15" s="1"/>
  <c r="P89" i="15"/>
  <c r="Q89" i="15" s="1"/>
  <c r="W89" i="15" s="1"/>
  <c r="AA30" i="16"/>
  <c r="AC30" i="16" s="1"/>
  <c r="AA27" i="16"/>
  <c r="AC27" i="16" s="1"/>
  <c r="AA28" i="16"/>
  <c r="AC28" i="16" s="1"/>
  <c r="Y8" i="16"/>
  <c r="AC43" i="16"/>
  <c r="P33" i="15"/>
  <c r="Q33" i="15" s="1"/>
  <c r="S33" i="15" s="1"/>
  <c r="O47" i="16"/>
  <c r="C7" i="16" s="1"/>
  <c r="I33" i="16" s="1"/>
  <c r="P11" i="15" l="1"/>
  <c r="Q11" i="15" s="1"/>
  <c r="BO37" i="16"/>
  <c r="BQ37" i="16" s="1"/>
  <c r="BO42" i="16"/>
  <c r="BQ42" i="16" s="1"/>
  <c r="BO34" i="16"/>
  <c r="BQ34" i="16" s="1"/>
  <c r="BO39" i="16"/>
  <c r="BQ39" i="16" s="1"/>
  <c r="BO36" i="16"/>
  <c r="BQ36" i="16" s="1"/>
  <c r="BO41" i="16"/>
  <c r="BQ41" i="16" s="1"/>
  <c r="BO38" i="16"/>
  <c r="BQ38" i="16" s="1"/>
  <c r="BO40" i="16"/>
  <c r="BQ40" i="16" s="1"/>
  <c r="BO35" i="16"/>
  <c r="BQ35" i="16" s="1"/>
  <c r="AA38" i="16"/>
  <c r="AC38" i="16" s="1"/>
  <c r="AA41" i="16"/>
  <c r="AC41" i="16" s="1"/>
  <c r="AA35" i="16"/>
  <c r="AC35" i="16" s="1"/>
  <c r="AA34" i="16"/>
  <c r="AC34" i="16" s="1"/>
  <c r="AA36" i="16"/>
  <c r="AC36" i="16" s="1"/>
  <c r="AA37" i="16"/>
  <c r="AC37" i="16" s="1"/>
  <c r="AA39" i="16"/>
  <c r="AC39" i="16" s="1"/>
  <c r="AA40" i="16"/>
  <c r="AC40" i="16" s="1"/>
  <c r="AA42" i="16"/>
  <c r="AC42" i="16" s="1"/>
  <c r="Q54" i="15"/>
  <c r="S54" i="15" s="1"/>
  <c r="S43" i="15"/>
  <c r="W43" i="15"/>
  <c r="Y130" i="15"/>
  <c r="S130" i="15"/>
  <c r="U88" i="15"/>
  <c r="S155" i="15"/>
  <c r="W152" i="15"/>
  <c r="U152" i="15"/>
  <c r="Y152" i="15"/>
  <c r="W119" i="15"/>
  <c r="AA119" i="15"/>
  <c r="U119" i="15"/>
  <c r="AA130" i="15"/>
  <c r="U130" i="15"/>
  <c r="S85" i="15"/>
  <c r="AA85" i="15"/>
  <c r="S118" i="15"/>
  <c r="Y118" i="15"/>
  <c r="AA118" i="15"/>
  <c r="U132" i="15"/>
  <c r="S132" i="15"/>
  <c r="W132" i="15"/>
  <c r="AA132" i="15"/>
  <c r="Y120" i="15"/>
  <c r="W120" i="15"/>
  <c r="U120" i="15"/>
  <c r="U41" i="15"/>
  <c r="S41" i="15"/>
  <c r="W41" i="15"/>
  <c r="W88" i="15"/>
  <c r="S18" i="15"/>
  <c r="Q38" i="15"/>
  <c r="W38" i="15" s="1"/>
  <c r="W143" i="15"/>
  <c r="AA143" i="15"/>
  <c r="S143" i="15"/>
  <c r="S19" i="15"/>
  <c r="Q14" i="15"/>
  <c r="W14" i="15" s="1"/>
  <c r="U20" i="15"/>
  <c r="AA20" i="15"/>
  <c r="W20" i="15"/>
  <c r="Y20" i="15"/>
  <c r="W55" i="15"/>
  <c r="U55" i="15"/>
  <c r="S55" i="15"/>
  <c r="Y147" i="15"/>
  <c r="U147" i="15"/>
  <c r="AA147" i="15"/>
  <c r="S147" i="15"/>
  <c r="W147" i="15"/>
  <c r="W46" i="15"/>
  <c r="Y46" i="15"/>
  <c r="S107" i="15"/>
  <c r="W107" i="15"/>
  <c r="Y107" i="15"/>
  <c r="U107" i="15"/>
  <c r="AA107" i="15"/>
  <c r="W124" i="15"/>
  <c r="Y124" i="15"/>
  <c r="U82" i="15"/>
  <c r="Y82" i="15"/>
  <c r="S121" i="15"/>
  <c r="AA121" i="15"/>
  <c r="W145" i="15"/>
  <c r="S145" i="15"/>
  <c r="U145" i="15"/>
  <c r="Y145" i="15"/>
  <c r="AA145" i="15"/>
  <c r="S133" i="15"/>
  <c r="U133" i="15"/>
  <c r="AA133" i="15"/>
  <c r="Y133" i="15"/>
  <c r="W133" i="15"/>
  <c r="AA50" i="15"/>
  <c r="U50" i="15"/>
  <c r="AA13" i="15"/>
  <c r="Y13" i="15"/>
  <c r="W13" i="15"/>
  <c r="U13" i="15"/>
  <c r="S13" i="15"/>
  <c r="U19" i="15"/>
  <c r="W155" i="15"/>
  <c r="U15" i="15"/>
  <c r="AA18" i="15"/>
  <c r="W19" i="15"/>
  <c r="AA41" i="15"/>
  <c r="AA155" i="15"/>
  <c r="U151" i="15"/>
  <c r="AA152" i="15"/>
  <c r="Y155" i="15"/>
  <c r="Y143" i="15"/>
  <c r="Y18" i="15"/>
  <c r="Y19" i="15"/>
  <c r="Y41" i="15"/>
  <c r="W130" i="15"/>
  <c r="S15" i="15"/>
  <c r="W77" i="15"/>
  <c r="U18" i="15"/>
  <c r="S88" i="15"/>
  <c r="U113" i="15"/>
  <c r="Y113" i="15"/>
  <c r="AA88" i="15"/>
  <c r="AA59" i="15"/>
  <c r="W94" i="15"/>
  <c r="S20" i="15"/>
  <c r="W113" i="15"/>
  <c r="AA113" i="15"/>
  <c r="U118" i="15"/>
  <c r="S100" i="15"/>
  <c r="Q70" i="15"/>
  <c r="AA70" i="15" s="1"/>
  <c r="U35" i="15"/>
  <c r="S35" i="15"/>
  <c r="AA35" i="15"/>
  <c r="W35" i="15"/>
  <c r="Y35" i="15"/>
  <c r="W95" i="15"/>
  <c r="AA95" i="15"/>
  <c r="S95" i="15"/>
  <c r="U95" i="15"/>
  <c r="Y95" i="15"/>
  <c r="W47" i="15"/>
  <c r="U47" i="15"/>
  <c r="Y47" i="15"/>
  <c r="S47" i="15"/>
  <c r="AA47" i="15"/>
  <c r="Y79" i="15"/>
  <c r="S79" i="15"/>
  <c r="U136" i="15"/>
  <c r="Y136" i="15"/>
  <c r="Y102" i="15"/>
  <c r="W102" i="15"/>
  <c r="Y44" i="15"/>
  <c r="W44" i="15"/>
  <c r="U44" i="15"/>
  <c r="S44" i="15"/>
  <c r="AA44" i="15"/>
  <c r="Y148" i="15"/>
  <c r="U148" i="15"/>
  <c r="W75" i="15"/>
  <c r="AA75" i="15"/>
  <c r="U75" i="15"/>
  <c r="Y75" i="15"/>
  <c r="S75" i="15"/>
  <c r="U73" i="15"/>
  <c r="W73" i="15"/>
  <c r="AA73" i="15"/>
  <c r="S73" i="15"/>
  <c r="Y73" i="15"/>
  <c r="Y28" i="15"/>
  <c r="W28" i="15"/>
  <c r="U28" i="15"/>
  <c r="AA28" i="15"/>
  <c r="S28" i="15"/>
  <c r="U98" i="15"/>
  <c r="W98" i="15"/>
  <c r="AA98" i="15"/>
  <c r="S98" i="15"/>
  <c r="Y98" i="15"/>
  <c r="AA55" i="15"/>
  <c r="Y101" i="15"/>
  <c r="S101" i="15"/>
  <c r="W101" i="15"/>
  <c r="AA101" i="15"/>
  <c r="W50" i="15"/>
  <c r="Q78" i="15"/>
  <c r="U78" i="15" s="1"/>
  <c r="Q62" i="15"/>
  <c r="Y50" i="15"/>
  <c r="S50" i="15"/>
  <c r="Y55" i="15"/>
  <c r="Q22" i="15"/>
  <c r="U46" i="15"/>
  <c r="AA46" i="15"/>
  <c r="S46" i="15"/>
  <c r="U91" i="15"/>
  <c r="AA91" i="15"/>
  <c r="Y91" i="15"/>
  <c r="W91" i="15"/>
  <c r="AA115" i="15"/>
  <c r="U34" i="15"/>
  <c r="W53" i="15"/>
  <c r="Y142" i="15"/>
  <c r="U49" i="15"/>
  <c r="S77" i="15"/>
  <c r="S45" i="15"/>
  <c r="U160" i="15"/>
  <c r="Y115" i="15"/>
  <c r="W142" i="15"/>
  <c r="Y160" i="15"/>
  <c r="W15" i="15"/>
  <c r="W76" i="15"/>
  <c r="S158" i="15"/>
  <c r="U142" i="15"/>
  <c r="U77" i="15"/>
  <c r="W79" i="15"/>
  <c r="AA158" i="15"/>
  <c r="Y15" i="15"/>
  <c r="Y138" i="15"/>
  <c r="AA43" i="15"/>
  <c r="Y151" i="15"/>
  <c r="Y103" i="15"/>
  <c r="S32" i="15"/>
  <c r="U32" i="15"/>
  <c r="AA103" i="15"/>
  <c r="S151" i="15"/>
  <c r="W103" i="15"/>
  <c r="Y32" i="15"/>
  <c r="S136" i="15"/>
  <c r="W151" i="15"/>
  <c r="U103" i="15"/>
  <c r="W136" i="15"/>
  <c r="AA136" i="15"/>
  <c r="AA32" i="15"/>
  <c r="Y43" i="15"/>
  <c r="U43" i="15"/>
  <c r="U125" i="15"/>
  <c r="AA58" i="15"/>
  <c r="U140" i="15"/>
  <c r="W33" i="15"/>
  <c r="Y33" i="15"/>
  <c r="AA125" i="15"/>
  <c r="U33" i="15"/>
  <c r="U57" i="15"/>
  <c r="S125" i="15"/>
  <c r="W57" i="15"/>
  <c r="W125" i="15"/>
  <c r="S65" i="15"/>
  <c r="AA33" i="15"/>
  <c r="S57" i="15"/>
  <c r="AA57" i="15"/>
  <c r="U111" i="15"/>
  <c r="W105" i="15"/>
  <c r="AA105" i="15"/>
  <c r="AA126" i="15"/>
  <c r="S126" i="15"/>
  <c r="S111" i="15"/>
  <c r="U105" i="15"/>
  <c r="S123" i="15"/>
  <c r="U126" i="15"/>
  <c r="U61" i="15"/>
  <c r="Y126" i="15"/>
  <c r="W111" i="15"/>
  <c r="S16" i="15"/>
  <c r="AA111" i="15"/>
  <c r="S94" i="15"/>
  <c r="Y94" i="15"/>
  <c r="U124" i="15"/>
  <c r="U94" i="15"/>
  <c r="S82" i="15"/>
  <c r="AA114" i="15"/>
  <c r="W82" i="15"/>
  <c r="S90" i="15"/>
  <c r="W90" i="15"/>
  <c r="AA82" i="15"/>
  <c r="S124" i="15"/>
  <c r="U90" i="15"/>
  <c r="W60" i="15"/>
  <c r="AA124" i="15"/>
  <c r="AA90" i="15"/>
  <c r="Y30" i="15"/>
  <c r="W25" i="15"/>
  <c r="W116" i="15"/>
  <c r="S17" i="15"/>
  <c r="S97" i="15"/>
  <c r="AA97" i="15"/>
  <c r="AA23" i="15"/>
  <c r="U17" i="15"/>
  <c r="AA100" i="15"/>
  <c r="W109" i="15"/>
  <c r="Y100" i="15"/>
  <c r="S120" i="15"/>
  <c r="U24" i="15"/>
  <c r="S23" i="15"/>
  <c r="U97" i="15"/>
  <c r="S69" i="15"/>
  <c r="U128" i="15"/>
  <c r="W69" i="15"/>
  <c r="W93" i="15"/>
  <c r="AA84" i="15"/>
  <c r="Y69" i="15"/>
  <c r="U93" i="15"/>
  <c r="W71" i="15"/>
  <c r="AA93" i="15"/>
  <c r="U12" i="15"/>
  <c r="Y12" i="15"/>
  <c r="AA12" i="15"/>
  <c r="W12" i="15"/>
  <c r="S141" i="15"/>
  <c r="U104" i="15"/>
  <c r="Y40" i="15"/>
  <c r="S104" i="15"/>
  <c r="U96" i="15"/>
  <c r="U141" i="15"/>
  <c r="AA104" i="15"/>
  <c r="U85" i="15"/>
  <c r="Y141" i="15"/>
  <c r="W104" i="15"/>
  <c r="U121" i="15"/>
  <c r="Y85" i="15"/>
  <c r="AA141" i="15"/>
  <c r="Y121" i="15"/>
  <c r="S66" i="15"/>
  <c r="W85" i="15"/>
  <c r="AA89" i="15"/>
  <c r="W26" i="15"/>
  <c r="AA106" i="15"/>
  <c r="W153" i="15"/>
  <c r="S68" i="15"/>
  <c r="Y117" i="15"/>
  <c r="U31" i="15"/>
  <c r="U89" i="15"/>
  <c r="AA68" i="15"/>
  <c r="U106" i="15"/>
  <c r="U131" i="15"/>
  <c r="S137" i="15"/>
  <c r="Y31" i="15"/>
  <c r="AA117" i="15"/>
  <c r="U26" i="15"/>
  <c r="U159" i="15"/>
  <c r="U29" i="15"/>
  <c r="S131" i="15"/>
  <c r="AA67" i="15"/>
  <c r="AA137" i="15"/>
  <c r="W31" i="15"/>
  <c r="U117" i="15"/>
  <c r="U68" i="15"/>
  <c r="S29" i="15"/>
  <c r="W29" i="15"/>
  <c r="AA131" i="15"/>
  <c r="Y137" i="15"/>
  <c r="W131" i="15"/>
  <c r="U153" i="15"/>
  <c r="AA31" i="15"/>
  <c r="S117" i="15"/>
  <c r="W159" i="15"/>
  <c r="AA135" i="15"/>
  <c r="S26" i="15"/>
  <c r="Y159" i="15"/>
  <c r="S153" i="15"/>
  <c r="Y26" i="15"/>
  <c r="W68" i="15"/>
  <c r="Y135" i="15"/>
  <c r="W135" i="15"/>
  <c r="U67" i="15"/>
  <c r="W67" i="15"/>
  <c r="AA153" i="15"/>
  <c r="S89" i="15"/>
  <c r="U135" i="15"/>
  <c r="Y106" i="15"/>
  <c r="Y29" i="15"/>
  <c r="S67" i="15"/>
  <c r="W137" i="15"/>
  <c r="Y89" i="15"/>
  <c r="S159" i="15"/>
  <c r="S106" i="15"/>
  <c r="Y127" i="15"/>
  <c r="AA17" i="15"/>
  <c r="Y132" i="15"/>
  <c r="W72" i="15"/>
  <c r="S53" i="15"/>
  <c r="AA36" i="15"/>
  <c r="S142" i="15"/>
  <c r="U146" i="15"/>
  <c r="W121" i="15"/>
  <c r="W127" i="15"/>
  <c r="W23" i="15"/>
  <c r="S119" i="15"/>
  <c r="S148" i="15"/>
  <c r="S138" i="15"/>
  <c r="U71" i="15"/>
  <c r="AA127" i="15"/>
  <c r="W74" i="15"/>
  <c r="Y17" i="15"/>
  <c r="U86" i="15"/>
  <c r="AA72" i="15"/>
  <c r="Y97" i="15"/>
  <c r="U53" i="15"/>
  <c r="Y36" i="15"/>
  <c r="S36" i="15"/>
  <c r="U36" i="15"/>
  <c r="AA120" i="15"/>
  <c r="AA102" i="15"/>
  <c r="U100" i="15"/>
  <c r="S127" i="15"/>
  <c r="Y23" i="15"/>
  <c r="W24" i="15"/>
  <c r="Y93" i="15"/>
  <c r="AA138" i="15"/>
  <c r="AA148" i="15"/>
  <c r="U72" i="15"/>
  <c r="Y72" i="15"/>
  <c r="Y53" i="15"/>
  <c r="S71" i="15"/>
  <c r="S102" i="15"/>
  <c r="U102" i="15"/>
  <c r="AA109" i="15"/>
  <c r="Y109" i="15"/>
  <c r="AA24" i="15"/>
  <c r="AA99" i="15"/>
  <c r="U138" i="15"/>
  <c r="Y119" i="15"/>
  <c r="S99" i="15"/>
  <c r="S146" i="15"/>
  <c r="AA69" i="15"/>
  <c r="S109" i="15"/>
  <c r="S160" i="15"/>
  <c r="W118" i="15"/>
  <c r="W148" i="15"/>
  <c r="Y129" i="15"/>
  <c r="AA160" i="15"/>
  <c r="W146" i="15"/>
  <c r="AA146" i="15"/>
  <c r="Y24" i="15"/>
  <c r="AA71" i="15"/>
  <c r="AA30" i="15"/>
  <c r="U45" i="15"/>
  <c r="U149" i="15"/>
  <c r="AA60" i="15"/>
  <c r="W30" i="15"/>
  <c r="S149" i="15"/>
  <c r="S58" i="15"/>
  <c r="W27" i="15"/>
  <c r="Y21" i="15"/>
  <c r="W34" i="15"/>
  <c r="U144" i="15"/>
  <c r="Y76" i="15"/>
  <c r="U76" i="15"/>
  <c r="S116" i="15"/>
  <c r="AA45" i="15"/>
  <c r="W149" i="15"/>
  <c r="AA149" i="15"/>
  <c r="AA25" i="15"/>
  <c r="S27" i="15"/>
  <c r="U21" i="15"/>
  <c r="W58" i="15"/>
  <c r="S59" i="15"/>
  <c r="W21" i="15"/>
  <c r="W115" i="15"/>
  <c r="Y27" i="15"/>
  <c r="U116" i="15"/>
  <c r="AA116" i="15"/>
  <c r="AA49" i="15"/>
  <c r="Y60" i="15"/>
  <c r="S34" i="15"/>
  <c r="Y158" i="15"/>
  <c r="W59" i="15"/>
  <c r="AA34" i="15"/>
  <c r="Y114" i="15"/>
  <c r="S115" i="15"/>
  <c r="S30" i="15"/>
  <c r="Y144" i="15"/>
  <c r="U27" i="15"/>
  <c r="Y49" i="15"/>
  <c r="W144" i="15"/>
  <c r="Y25" i="15"/>
  <c r="S60" i="15"/>
  <c r="S114" i="15"/>
  <c r="U58" i="15"/>
  <c r="S63" i="15"/>
  <c r="U63" i="15"/>
  <c r="U59" i="15"/>
  <c r="AA144" i="15"/>
  <c r="U79" i="15"/>
  <c r="AA76" i="15"/>
  <c r="AA21" i="15"/>
  <c r="U158" i="15"/>
  <c r="U114" i="15"/>
  <c r="W49" i="15"/>
  <c r="Y77" i="15"/>
  <c r="Y45" i="15"/>
  <c r="U25" i="15"/>
  <c r="Y63" i="15"/>
  <c r="AA79" i="15"/>
  <c r="AA110" i="15"/>
  <c r="W65" i="15"/>
  <c r="AA65" i="15"/>
  <c r="U80" i="15"/>
  <c r="Y150" i="15"/>
  <c r="U65" i="15"/>
  <c r="S80" i="15"/>
  <c r="Y112" i="15"/>
  <c r="AA39" i="15"/>
  <c r="AA51" i="15"/>
  <c r="S51" i="15"/>
  <c r="S37" i="15"/>
  <c r="AA40" i="15"/>
  <c r="AA96" i="15"/>
  <c r="U74" i="15"/>
  <c r="Y74" i="15"/>
  <c r="W129" i="15"/>
  <c r="S139" i="15"/>
  <c r="U40" i="15"/>
  <c r="AA129" i="15"/>
  <c r="S74" i="15"/>
  <c r="U139" i="15"/>
  <c r="W51" i="15"/>
  <c r="W37" i="15"/>
  <c r="S96" i="15"/>
  <c r="AA139" i="15"/>
  <c r="Y51" i="15"/>
  <c r="Y96" i="15"/>
  <c r="Y139" i="15"/>
  <c r="AA66" i="15"/>
  <c r="W66" i="15"/>
  <c r="S40" i="15"/>
  <c r="S129" i="15"/>
  <c r="U66" i="15"/>
  <c r="Y140" i="15"/>
  <c r="Y105" i="15"/>
  <c r="AA150" i="15"/>
  <c r="W123" i="15"/>
  <c r="AA16" i="15"/>
  <c r="S110" i="15"/>
  <c r="U16" i="15"/>
  <c r="AA61" i="15"/>
  <c r="U108" i="15"/>
  <c r="S157" i="15"/>
  <c r="AA108" i="15"/>
  <c r="AA140" i="15"/>
  <c r="U123" i="15"/>
  <c r="AA123" i="15"/>
  <c r="U110" i="15"/>
  <c r="S150" i="15"/>
  <c r="Y156" i="15"/>
  <c r="S108" i="15"/>
  <c r="Y39" i="15"/>
  <c r="Y110" i="15"/>
  <c r="S156" i="15"/>
  <c r="W16" i="15"/>
  <c r="W156" i="15"/>
  <c r="W157" i="15"/>
  <c r="Y157" i="15"/>
  <c r="Y108" i="15"/>
  <c r="W61" i="15"/>
  <c r="W150" i="15"/>
  <c r="S39" i="15"/>
  <c r="W80" i="15"/>
  <c r="W39" i="15"/>
  <c r="S61" i="15"/>
  <c r="W140" i="15"/>
  <c r="AA80" i="15"/>
  <c r="U48" i="15"/>
  <c r="AA157" i="15"/>
  <c r="AA156" i="15"/>
  <c r="W112" i="15"/>
  <c r="W84" i="15"/>
  <c r="U52" i="15"/>
  <c r="U92" i="15"/>
  <c r="Y128" i="15"/>
  <c r="Y99" i="15"/>
  <c r="AA64" i="15"/>
  <c r="Y92" i="15"/>
  <c r="S122" i="15"/>
  <c r="U64" i="15"/>
  <c r="AA92" i="15"/>
  <c r="S92" i="15"/>
  <c r="AA122" i="15"/>
  <c r="W122" i="15"/>
  <c r="AA112" i="15"/>
  <c r="U81" i="15"/>
  <c r="S52" i="15"/>
  <c r="W52" i="15"/>
  <c r="W81" i="15"/>
  <c r="S81" i="15"/>
  <c r="W64" i="15"/>
  <c r="Y81" i="15"/>
  <c r="S112" i="15"/>
  <c r="S84" i="15"/>
  <c r="AA52" i="15"/>
  <c r="Y64" i="15"/>
  <c r="S128" i="15"/>
  <c r="U122" i="15"/>
  <c r="U84" i="15"/>
  <c r="W99" i="15"/>
  <c r="AA128" i="15"/>
  <c r="Y154" i="15"/>
  <c r="S154" i="15"/>
  <c r="S134" i="15"/>
  <c r="AA63" i="15"/>
  <c r="Y134" i="15"/>
  <c r="Y37" i="15"/>
  <c r="AA134" i="15"/>
  <c r="AA48" i="15"/>
  <c r="Y48" i="15"/>
  <c r="AA86" i="15"/>
  <c r="U154" i="15"/>
  <c r="U134" i="15"/>
  <c r="W86" i="15"/>
  <c r="Y86" i="15"/>
  <c r="U37" i="15"/>
  <c r="W48" i="15"/>
  <c r="AA154" i="15"/>
  <c r="U83" i="15"/>
  <c r="W83" i="15"/>
  <c r="S83" i="15"/>
  <c r="Y83" i="15"/>
  <c r="AA56" i="15"/>
  <c r="W87" i="15"/>
  <c r="Y87" i="15"/>
  <c r="S87" i="15"/>
  <c r="U56" i="15"/>
  <c r="AA87" i="15"/>
  <c r="W56" i="15"/>
  <c r="S56" i="15"/>
  <c r="AA42" i="15"/>
  <c r="U42" i="15"/>
  <c r="S42" i="15"/>
  <c r="Y42" i="15"/>
  <c r="E7" i="16"/>
  <c r="E8" i="16"/>
  <c r="AA11" i="15" l="1"/>
  <c r="Y11" i="15"/>
  <c r="U11" i="15"/>
  <c r="S11" i="15"/>
  <c r="W11" i="15"/>
  <c r="G37" i="16"/>
  <c r="I37" i="16" s="1"/>
  <c r="G31" i="16"/>
  <c r="I31" i="16" s="1"/>
  <c r="G25" i="16"/>
  <c r="I25" i="16" s="1"/>
  <c r="G38" i="16"/>
  <c r="G39" i="16"/>
  <c r="I39" i="16" s="1"/>
  <c r="G42" i="16"/>
  <c r="I42" i="16" s="1"/>
  <c r="G40" i="16"/>
  <c r="I40" i="16" s="1"/>
  <c r="G26" i="16"/>
  <c r="I26" i="16" s="1"/>
  <c r="G34" i="16"/>
  <c r="I34" i="16" s="1"/>
  <c r="G28" i="16"/>
  <c r="I28" i="16" s="1"/>
  <c r="G41" i="16"/>
  <c r="I41" i="16" s="1"/>
  <c r="G27" i="16"/>
  <c r="G32" i="16"/>
  <c r="I32" i="16" s="1"/>
  <c r="G35" i="16"/>
  <c r="I35" i="16" s="1"/>
  <c r="G24" i="16"/>
  <c r="I24" i="16" s="1"/>
  <c r="G29" i="16"/>
  <c r="I29" i="16" s="1"/>
  <c r="G36" i="16"/>
  <c r="G30" i="16"/>
  <c r="I30" i="16" s="1"/>
  <c r="S38" i="15"/>
  <c r="AA54" i="15"/>
  <c r="U54" i="15"/>
  <c r="Y54" i="15"/>
  <c r="W54" i="15"/>
  <c r="Y38" i="15"/>
  <c r="AA38" i="15"/>
  <c r="U38" i="15"/>
  <c r="U70" i="15"/>
  <c r="S14" i="15"/>
  <c r="Y14" i="15"/>
  <c r="U14" i="15"/>
  <c r="AA14" i="15"/>
  <c r="S78" i="15"/>
  <c r="AA78" i="15"/>
  <c r="Y70" i="15"/>
  <c r="S70" i="15"/>
  <c r="Y78" i="15"/>
  <c r="W70" i="15"/>
  <c r="W78" i="15"/>
  <c r="S62" i="15"/>
  <c r="W62" i="15"/>
  <c r="U62" i="15"/>
  <c r="Y62" i="15"/>
  <c r="AA62" i="15"/>
  <c r="U22" i="15"/>
  <c r="Y22" i="15"/>
  <c r="AA22" i="15"/>
  <c r="S22" i="15"/>
  <c r="W22" i="15"/>
  <c r="I36" i="16"/>
  <c r="I38" i="16"/>
  <c r="I27" i="1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3920A62-120A-44BA-A140-93A68A5C9855}" keepAlive="1" name="Query - facdetails_27068" description="Verbinding maken met de query facdetails_27068 in de werkmap." type="5" refreshedVersion="6" background="1">
    <dbPr connection="Provider=Microsoft.Mashup.OleDb.1;Data Source=$Workbook$;Location=facdetails_27068;Extended Properties=&quot;&quot;" command="SELECT * FROM [facdetails_27068]"/>
  </connection>
  <connection id="2" xr16:uid="{77FBDBF9-89BE-484F-A509-328177C17A09}" keepAlive="1" name="Query - facdetails_27068 (2)" description="Verbinding maken met de query facdetails_27068 (2) in de werkmap." type="5" refreshedVersion="6" background="1" saveData="1">
    <dbPr connection="Provider=Microsoft.Mashup.OleDb.1;Data Source=$Workbook$;Location=facdetails_27068 (2);Extended Properties=&quot;&quot;" command="SELECT * FROM [facdetails_27068 (2)]"/>
  </connection>
  <connection id="3" xr16:uid="{E358BE03-A24D-411E-B7AA-2444FBFAD4B8}" keepAlive="1" name="Query - NMBS_flexabo" description="Verbinding maken met de query NMBS_flexabo in de werkmap." type="5" refreshedVersion="0" background="1">
    <dbPr connection="Provider=Microsoft.Mashup.OleDb.1;Data Source=$Workbook$;Location=NMBS_flexabo;Extended Properties=&quot;&quot;" command="SELECT * FROM [NMBS_flexabo]"/>
  </connection>
</connections>
</file>

<file path=xl/sharedStrings.xml><?xml version="1.0" encoding="utf-8"?>
<sst xmlns="http://schemas.openxmlformats.org/spreadsheetml/2006/main" count="1316" uniqueCount="426">
  <si>
    <t>NMBS</t>
  </si>
  <si>
    <t>aantal weken/jaar</t>
  </si>
  <si>
    <t>Vul onderstaande velden in</t>
  </si>
  <si>
    <t>Informatie</t>
  </si>
  <si>
    <t>gemiddeld aantal verplaatsingen/week op jaarbasis</t>
  </si>
  <si>
    <t>aantal te werken weken per jaar</t>
  </si>
  <si>
    <t>Leeftijd ivm Youth Multi</t>
  </si>
  <si>
    <t>Aankoop via app NMBS</t>
  </si>
  <si>
    <t>Zoek je afstand</t>
  </si>
  <si>
    <t>Zones Local Multi</t>
  </si>
  <si>
    <t>Prijs eerste klas = prijs tweede klas maal 1,54</t>
  </si>
  <si>
    <t>grensbedrag derdebetalers i.p.v. schuldvordering</t>
  </si>
  <si>
    <t>NEE</t>
  </si>
  <si>
    <t>NMBS + DE LIJN</t>
  </si>
  <si>
    <t>MIVB</t>
  </si>
  <si>
    <t>Derdebetaler</t>
  </si>
  <si>
    <t>Schuldvordering</t>
  </si>
  <si>
    <t>Afstand in km</t>
  </si>
  <si>
    <t>Flexabo 6 dagen/maand</t>
  </si>
  <si>
    <t>Flexabo 10 dagen/maand</t>
  </si>
  <si>
    <t>Flexabo 80 dagen/jaar</t>
  </si>
  <si>
    <t>Flexabo 120 dagen/jaar</t>
  </si>
  <si>
    <t>Halftijds abonnement</t>
  </si>
  <si>
    <t>Abonnement
validatie 1 maand</t>
  </si>
  <si>
    <t>Abonnement
validatie 3 maanden</t>
  </si>
  <si>
    <t>Abonnement
validatie 12 maanden</t>
  </si>
  <si>
    <r>
      <t xml:space="preserve">Standard ticket heen en terug </t>
    </r>
    <r>
      <rPr>
        <b/>
        <sz val="9"/>
        <color rgb="FFFF0000"/>
        <rFont val="Tahoma"/>
        <family val="2"/>
      </rPr>
      <t>en</t>
    </r>
    <r>
      <rPr>
        <sz val="9"/>
        <color theme="1"/>
        <rFont val="Tahoma"/>
        <family val="2"/>
      </rPr>
      <t xml:space="preserve">
10-identieke rittenkaart</t>
    </r>
  </si>
  <si>
    <r>
      <rPr>
        <sz val="9"/>
        <rFont val="Tahoma"/>
        <family val="2"/>
      </rPr>
      <t>Local Multi</t>
    </r>
    <r>
      <rPr>
        <sz val="9"/>
        <color theme="1"/>
        <rFont val="Tahoma"/>
        <family val="2"/>
      </rPr>
      <t xml:space="preserve">
</t>
    </r>
  </si>
  <si>
    <t>goedkoopste formule</t>
  </si>
  <si>
    <t>Abonnement + De Lijn Omnipas&gt;25, validatie 1 maand</t>
  </si>
  <si>
    <t>meerkost tov goedkoopste formule</t>
  </si>
  <si>
    <t>Abonnement + De Lijn Omnipas&gt;25, validatie 3 maand</t>
  </si>
  <si>
    <t>Abonnement + De Lijn Omnipas&gt;25, validatie 12 maand</t>
  </si>
  <si>
    <t>Abonnement + De Lijn Buzzy Pass&lt;25, validatie 1 maand</t>
  </si>
  <si>
    <t>Abonnement + De Lijn Buzzy Pass&lt;25, validatie 3 maand</t>
  </si>
  <si>
    <t>Abonnement + De Lijn Buzzy Pass&lt;25, validatie 12 maand</t>
  </si>
  <si>
    <t>City Pass Gent
City Pass Antwerpen
validatie 1 maand</t>
  </si>
  <si>
    <t>City Pass Gent
City Pass Antwerpen
validatie 12 maanden</t>
  </si>
  <si>
    <t>Brupass</t>
  </si>
  <si>
    <t>Brupass XL</t>
  </si>
  <si>
    <t>Brupass 1 rit: € 2,40 </t>
  </si>
  <si>
    <t>Brupass XL 1 rit: € 3 </t>
  </si>
  <si>
    <t>Unlimited Abonnement
1 maand</t>
  </si>
  <si>
    <t>Youth Ticket &lt;26 jaar</t>
  </si>
  <si>
    <t>Student Abonnement &lt;26</t>
  </si>
  <si>
    <t>abonnement + Forfait De Lijn
Omnipas &gt;25</t>
  </si>
  <si>
    <t>City Pass Antwerpen 25+</t>
  </si>
  <si>
    <t>enkele reis</t>
  </si>
  <si>
    <t>uitwerken</t>
  </si>
  <si>
    <t>halftijds abonnement</t>
  </si>
  <si>
    <t>dagen/week</t>
  </si>
  <si>
    <t>verplaatsingen/jaar</t>
  </si>
  <si>
    <t>% verplaatsingen</t>
  </si>
  <si>
    <t>aantal abo nodig/volledig jaar</t>
  </si>
  <si>
    <t>aantal abo kopen/jaar</t>
  </si>
  <si>
    <t>weken/jaar</t>
  </si>
  <si>
    <t>Percentage</t>
  </si>
  <si>
    <t>City Pass Gent 25+</t>
  </si>
  <si>
    <t>abonnement + Forfait De Lijn
Buzzy pass &lt;25</t>
  </si>
  <si>
    <t>Brupass 10 ritten: € 15 </t>
  </si>
  <si>
    <t>Brupass XL 10 ritten: € 20 </t>
  </si>
  <si>
    <t>Unlimited Abonnement
3 maand</t>
  </si>
  <si>
    <t>Youth Holidays (Go Unlimited) &lt;26 jaar</t>
  </si>
  <si>
    <t>Student Multi (Campus) &lt;26</t>
  </si>
  <si>
    <t>1 week</t>
  </si>
  <si>
    <t>abonnement</t>
  </si>
  <si>
    <t>10 identieke rittenkaart</t>
  </si>
  <si>
    <t>Standard Multi</t>
  </si>
  <si>
    <t>10 ritten</t>
  </si>
  <si>
    <t>verplaatsingen tekort/jaar</t>
  </si>
  <si>
    <t>aantal pas nodig/jaar</t>
  </si>
  <si>
    <t>aantal pas kopen/jaar</t>
  </si>
  <si>
    <t>Brupass 1 dag (*): € 7,50 </t>
  </si>
  <si>
    <t>1 maand</t>
  </si>
  <si>
    <t>JA</t>
  </si>
  <si>
    <t>ticketten heen en terug</t>
  </si>
  <si>
    <t>Local Multi</t>
  </si>
  <si>
    <t>Brupass 1 maand: € 55,50 </t>
  </si>
  <si>
    <t>Brupass XL 1 maand : € 74 </t>
  </si>
  <si>
    <t>aantal abo nodig/jaar</t>
  </si>
  <si>
    <t>Youth Multi</t>
  </si>
  <si>
    <t>kost/jaar</t>
  </si>
  <si>
    <t>korting app</t>
  </si>
  <si>
    <t>Brupass 12 maanden: € 583 </t>
  </si>
  <si>
    <t>Brupass XL 12 maanden : € 775 </t>
  </si>
  <si>
    <t>totaal</t>
  </si>
  <si>
    <t>aantal/week</t>
  </si>
  <si>
    <t>aantal tickets/jaar</t>
  </si>
  <si>
    <t>herleid aantal tickets/jaar</t>
  </si>
  <si>
    <t>Tarieven Abonnementen 
Trajectabonnement &amp; Halftijds abonnement</t>
  </si>
  <si>
    <t>Editie</t>
  </si>
  <si>
    <t>(B.T.W. 6% inbegrepen)</t>
  </si>
  <si>
    <t>Afstand</t>
  </si>
  <si>
    <t>2e klas</t>
  </si>
  <si>
    <t>1e klas</t>
  </si>
  <si>
    <t>Halftijds Abonnement</t>
  </si>
  <si>
    <t>1 MAAND</t>
  </si>
  <si>
    <t>1 MAAND + DeLijn Omnipas &gt;25</t>
  </si>
  <si>
    <t>1 MAAND + DeLijn Buzzy pass &lt;25</t>
  </si>
  <si>
    <t>1 MAAND + MIVB</t>
  </si>
  <si>
    <t>3 MAANDEN</t>
  </si>
  <si>
    <t>3 MAAND + DeLijn Omnipas &gt;25</t>
  </si>
  <si>
    <t>3 MAAND + DeLijn Buzzy pass&lt;25</t>
  </si>
  <si>
    <t>3 MAANDEN + MIVB</t>
  </si>
  <si>
    <t>12 MAANDEN</t>
  </si>
  <si>
    <t>12 MAAND + DeLijn Omnipas &gt;25</t>
  </si>
  <si>
    <t>12 MAAND + DeLijn Buzzy pass &lt;25</t>
  </si>
  <si>
    <t>12 MAANDEN + MIVB</t>
  </si>
  <si>
    <t>Forfait De Lijn</t>
  </si>
  <si>
    <t>Kaart</t>
  </si>
  <si>
    <t>3 maanden</t>
  </si>
  <si>
    <t>12 maanden</t>
  </si>
  <si>
    <t> Omnipas (+25 jaar)</t>
  </si>
  <si>
    <t> Buzzy Pass (-25 jaar)</t>
  </si>
  <si>
    <t>Forfait MIVB</t>
  </si>
  <si>
    <t>Reiziger</t>
  </si>
  <si>
    <t>3 maand</t>
  </si>
  <si>
    <t>12 maand</t>
  </si>
  <si>
    <t>25 jaar of ouder</t>
  </si>
  <si>
    <t>Jonger dan 25 jaar</t>
  </si>
  <si>
    <t>€ 499*</t>
  </si>
  <si>
    <t>60 jaar of ouder</t>
  </si>
  <si>
    <r>
      <t>2</t>
    </r>
    <r>
      <rPr>
        <b/>
        <sz val="11"/>
        <color theme="1"/>
        <rFont val="Calibri"/>
        <family val="2"/>
        <scheme val="minor"/>
      </rPr>
      <t>e klas</t>
    </r>
  </si>
  <si>
    <r>
      <rPr>
        <b/>
        <sz val="10"/>
        <rFont val="Tahoma"/>
        <family val="2"/>
      </rPr>
      <t>1e klas</t>
    </r>
  </si>
  <si>
    <r>
      <rPr>
        <sz val="8"/>
        <rFont val="Tahoma"/>
        <family val="2"/>
      </rPr>
      <t>Flexabo 6days</t>
    </r>
  </si>
  <si>
    <r>
      <rPr>
        <sz val="8"/>
        <rFont val="Tahoma"/>
        <family val="2"/>
      </rPr>
      <t>Flexabo 10days</t>
    </r>
  </si>
  <si>
    <r>
      <rPr>
        <sz val="8"/>
        <rFont val="Tahoma"/>
        <family val="2"/>
      </rPr>
      <t>Flexabo 80days</t>
    </r>
  </si>
  <si>
    <t>Flexabo 120days</t>
  </si>
  <si>
    <r>
      <rPr>
        <b/>
        <sz val="10"/>
        <rFont val="Tahoma"/>
        <family val="2"/>
      </rPr>
      <t>Afstand</t>
    </r>
  </si>
  <si>
    <t>flexabo 6</t>
  </si>
  <si>
    <t>flexabo 10</t>
  </si>
  <si>
    <t>flexabo 80</t>
  </si>
  <si>
    <t>flexabo 120</t>
  </si>
  <si>
    <t>verplaatsingen-/week</t>
  </si>
  <si>
    <t>totaal abo nodig/jaar</t>
  </si>
  <si>
    <t>aantal verplaatsingen/week</t>
  </si>
  <si>
    <t>aantal dagen activering voucher vóór eerste werkdag</t>
  </si>
  <si>
    <t>aantal verplaatsingen/jaar</t>
  </si>
  <si>
    <t>OK</t>
  </si>
  <si>
    <t>geldig tot</t>
  </si>
  <si>
    <t>Nog uitwerken</t>
  </si>
  <si>
    <t>nog uitwerken</t>
  </si>
  <si>
    <t>biljetformules</t>
  </si>
  <si>
    <t>heen en terug</t>
  </si>
  <si>
    <t>-</t>
  </si>
  <si>
    <t>BILJETPRIJZEN</t>
  </si>
  <si>
    <t>(enkel</t>
  </si>
  <si>
    <t>traject)</t>
  </si>
  <si>
    <t>(B.T.W.</t>
  </si>
  <si>
    <t>inbegrepen)</t>
  </si>
  <si>
    <r>
      <rPr>
        <b/>
        <sz val="8.5"/>
        <rFont val="Tahoma"/>
        <family val="2"/>
      </rPr>
      <t>2e klas</t>
    </r>
  </si>
  <si>
    <r>
      <rPr>
        <b/>
        <sz val="8.5"/>
        <rFont val="Tahoma"/>
        <family val="2"/>
      </rPr>
      <t>1e klas</t>
    </r>
  </si>
  <si>
    <r>
      <rPr>
        <sz val="7"/>
        <rFont val="Tahoma"/>
        <family val="2"/>
      </rPr>
      <t>Standaard Tarief</t>
    </r>
  </si>
  <si>
    <t>Standaard Tarief heen en terug</t>
  </si>
  <si>
    <r>
      <rPr>
        <sz val="7"/>
        <rFont val="Tahoma"/>
        <family val="2"/>
      </rPr>
      <t>Tarief 50%</t>
    </r>
  </si>
  <si>
    <r>
      <rPr>
        <sz val="7"/>
        <rFont val="Tahoma"/>
        <family val="2"/>
      </rPr>
      <t>Tarief Groep</t>
    </r>
  </si>
  <si>
    <r>
      <rPr>
        <sz val="7"/>
        <rFont val="Tahoma"/>
        <family val="2"/>
      </rPr>
      <t>Tarief 75%</t>
    </r>
  </si>
  <si>
    <t>combinatie NMBS</t>
  </si>
  <si>
    <t>Buzzy Pazz</t>
  </si>
  <si>
    <t>Omnipas</t>
  </si>
  <si>
    <t>Omnipas 65+</t>
  </si>
  <si>
    <t>in combinatie NMBS</t>
  </si>
  <si>
    <t>150,00</t>
  </si>
  <si>
    <t>1306,00</t>
  </si>
  <si>
    <t>1727,00</t>
  </si>
  <si>
    <t>155,00</t>
  </si>
  <si>
    <t>1355,00</t>
  </si>
  <si>
    <t>1792,00</t>
  </si>
  <si>
    <t>162,00</t>
  </si>
  <si>
    <t>1416,00</t>
  </si>
  <si>
    <t>1873,00</t>
  </si>
  <si>
    <t>169,00</t>
  </si>
  <si>
    <t>1477,00</t>
  </si>
  <si>
    <t>1954,00</t>
  </si>
  <si>
    <t>176,00</t>
  </si>
  <si>
    <t>1538,00</t>
  </si>
  <si>
    <t>2034,00</t>
  </si>
  <si>
    <t>183,00</t>
  </si>
  <si>
    <t>1599,00</t>
  </si>
  <si>
    <t>2115,00</t>
  </si>
  <si>
    <t>190,00</t>
  </si>
  <si>
    <t>1660,00</t>
  </si>
  <si>
    <t>2196,00</t>
  </si>
  <si>
    <t>197,00</t>
  </si>
  <si>
    <t>1722,00</t>
  </si>
  <si>
    <t>2277,00</t>
  </si>
  <si>
    <t>204,00</t>
  </si>
  <si>
    <t>1783,00</t>
  </si>
  <si>
    <t>2358,00</t>
  </si>
  <si>
    <t>211,00</t>
  </si>
  <si>
    <t>1844,00</t>
  </si>
  <si>
    <t>2439,00</t>
  </si>
  <si>
    <t>218,00</t>
  </si>
  <si>
    <t>1905,00</t>
  </si>
  <si>
    <t>2519,00</t>
  </si>
  <si>
    <t>225,00</t>
  </si>
  <si>
    <t>1966,00</t>
  </si>
  <si>
    <t>2600,00</t>
  </si>
  <si>
    <t>232,00</t>
  </si>
  <si>
    <t>2027,00</t>
  </si>
  <si>
    <t>2681,00</t>
  </si>
  <si>
    <t>239,00</t>
  </si>
  <si>
    <t>2088,00</t>
  </si>
  <si>
    <t>2762,00</t>
  </si>
  <si>
    <t>246,00</t>
  </si>
  <si>
    <t>2149,00</t>
  </si>
  <si>
    <t>2843,00</t>
  </si>
  <si>
    <t>253,00</t>
  </si>
  <si>
    <t>2210,00</t>
  </si>
  <si>
    <t>2923,00</t>
  </si>
  <si>
    <t>260,00</t>
  </si>
  <si>
    <t>2272,00</t>
  </si>
  <si>
    <t>3004,00</t>
  </si>
  <si>
    <t>267,00</t>
  </si>
  <si>
    <t>2333,00</t>
  </si>
  <si>
    <t>3085,00</t>
  </si>
  <si>
    <t>277,00</t>
  </si>
  <si>
    <t>2418,00</t>
  </si>
  <si>
    <t>3198,00</t>
  </si>
  <si>
    <t>01.02.2024</t>
  </si>
  <si>
    <t>45,00</t>
  </si>
  <si>
    <t>49,00</t>
  </si>
  <si>
    <t>53,00</t>
  </si>
  <si>
    <t>56,00</t>
  </si>
  <si>
    <t>60,00</t>
  </si>
  <si>
    <t>63,00</t>
  </si>
  <si>
    <t>66,00</t>
  </si>
  <si>
    <t>70,00</t>
  </si>
  <si>
    <t>73,00</t>
  </si>
  <si>
    <t>77,00</t>
  </si>
  <si>
    <t>80,00</t>
  </si>
  <si>
    <t>83,00</t>
  </si>
  <si>
    <t>87,00</t>
  </si>
  <si>
    <t>90,00</t>
  </si>
  <si>
    <t>94,00</t>
  </si>
  <si>
    <t>97,00</t>
  </si>
  <si>
    <t>100,00</t>
  </si>
  <si>
    <t>104,00</t>
  </si>
  <si>
    <t>107,00</t>
  </si>
  <si>
    <t>110,00</t>
  </si>
  <si>
    <t>114,00</t>
  </si>
  <si>
    <t>117,00</t>
  </si>
  <si>
    <t>121,00</t>
  </si>
  <si>
    <t>124,00</t>
  </si>
  <si>
    <t>127,00</t>
  </si>
  <si>
    <t>131,00</t>
  </si>
  <si>
    <t>134,00</t>
  </si>
  <si>
    <t>138,00</t>
  </si>
  <si>
    <t>143,00</t>
  </si>
  <si>
    <t>151,00</t>
  </si>
  <si>
    <t>160,00</t>
  </si>
  <si>
    <t>168,00</t>
  </si>
  <si>
    <t>185,00</t>
  </si>
  <si>
    <t>193,00</t>
  </si>
  <si>
    <t>199,00</t>
  </si>
  <si>
    <t>205,00</t>
  </si>
  <si>
    <t>219,00</t>
  </si>
  <si>
    <t>228,00</t>
  </si>
  <si>
    <t>238,00</t>
  </si>
  <si>
    <t>248,00</t>
  </si>
  <si>
    <t>258,00</t>
  </si>
  <si>
    <t>268,00</t>
  </si>
  <si>
    <t>278,00</t>
  </si>
  <si>
    <t>288,00</t>
  </si>
  <si>
    <t xml:space="preserve"> 126,00</t>
  </si>
  <si>
    <t xml:space="preserve"> 137,00</t>
  </si>
  <si>
    <t xml:space="preserve"> 148,00</t>
  </si>
  <si>
    <t xml:space="preserve"> 158,00</t>
  </si>
  <si>
    <t xml:space="preserve"> 167,00</t>
  </si>
  <si>
    <t xml:space="preserve"> 177,00</t>
  </si>
  <si>
    <t xml:space="preserve"> 186,00</t>
  </si>
  <si>
    <t xml:space="preserve"> 196,00</t>
  </si>
  <si>
    <t xml:space="preserve"> 205,00</t>
  </si>
  <si>
    <t xml:space="preserve"> 215,00</t>
  </si>
  <si>
    <t xml:space="preserve"> 224,00</t>
  </si>
  <si>
    <t xml:space="preserve"> 233,00</t>
  </si>
  <si>
    <t xml:space="preserve"> 243,00</t>
  </si>
  <si>
    <t xml:space="preserve"> 252,00</t>
  </si>
  <si>
    <t xml:space="preserve"> 262,00</t>
  </si>
  <si>
    <t xml:space="preserve"> 271,00</t>
  </si>
  <si>
    <t xml:space="preserve">281,00 </t>
  </si>
  <si>
    <t xml:space="preserve">290,00 </t>
  </si>
  <si>
    <t xml:space="preserve">300,00 </t>
  </si>
  <si>
    <t xml:space="preserve">309,00 </t>
  </si>
  <si>
    <t xml:space="preserve">319,00 </t>
  </si>
  <si>
    <t xml:space="preserve">328,00 </t>
  </si>
  <si>
    <t xml:space="preserve">338,00 </t>
  </si>
  <si>
    <t xml:space="preserve">347,00 </t>
  </si>
  <si>
    <t xml:space="preserve">357,00 </t>
  </si>
  <si>
    <t xml:space="preserve">366,00 </t>
  </si>
  <si>
    <t xml:space="preserve">376,00 </t>
  </si>
  <si>
    <t xml:space="preserve">385,00 </t>
  </si>
  <si>
    <t xml:space="preserve">401,00 </t>
  </si>
  <si>
    <t xml:space="preserve">424,00 </t>
  </si>
  <si>
    <t xml:space="preserve">447,00 </t>
  </si>
  <si>
    <t xml:space="preserve">470,00 </t>
  </si>
  <si>
    <t xml:space="preserve">494,00 </t>
  </si>
  <si>
    <t xml:space="preserve">517,00 </t>
  </si>
  <si>
    <t xml:space="preserve">540,00 </t>
  </si>
  <si>
    <t xml:space="preserve">557,00 </t>
  </si>
  <si>
    <t xml:space="preserve">573,00 </t>
  </si>
  <si>
    <t xml:space="preserve">590,00 </t>
  </si>
  <si>
    <t xml:space="preserve">612,00 </t>
  </si>
  <si>
    <t xml:space="preserve">639,00 </t>
  </si>
  <si>
    <t xml:space="preserve">667,00 </t>
  </si>
  <si>
    <t xml:space="preserve">695,00 </t>
  </si>
  <si>
    <t xml:space="preserve">722,00 </t>
  </si>
  <si>
    <t xml:space="preserve">750,00 </t>
  </si>
  <si>
    <t xml:space="preserve">777,00 </t>
  </si>
  <si>
    <t xml:space="preserve">805,00 </t>
  </si>
  <si>
    <t xml:space="preserve"> 833,00</t>
  </si>
  <si>
    <t xml:space="preserve"> 860,00</t>
  </si>
  <si>
    <t xml:space="preserve"> 888,00</t>
  </si>
  <si>
    <t xml:space="preserve"> 915,00</t>
  </si>
  <si>
    <t xml:space="preserve"> 943,00</t>
  </si>
  <si>
    <t xml:space="preserve"> 971,00</t>
  </si>
  <si>
    <t xml:space="preserve"> 998,00</t>
  </si>
  <si>
    <t xml:space="preserve"> 1026,00</t>
  </si>
  <si>
    <t xml:space="preserve"> 1053,00</t>
  </si>
  <si>
    <t xml:space="preserve"> 1092,00</t>
  </si>
  <si>
    <t xml:space="preserve"> 450,00</t>
  </si>
  <si>
    <t xml:space="preserve"> 490,00</t>
  </si>
  <si>
    <t xml:space="preserve"> 529,00</t>
  </si>
  <si>
    <t xml:space="preserve"> 563,00</t>
  </si>
  <si>
    <t xml:space="preserve"> 597,00</t>
  </si>
  <si>
    <t xml:space="preserve"> 631,00</t>
  </si>
  <si>
    <t xml:space="preserve"> 665,00</t>
  </si>
  <si>
    <t xml:space="preserve"> 699,00</t>
  </si>
  <si>
    <t xml:space="preserve"> 732,00</t>
  </si>
  <si>
    <t xml:space="preserve"> 766,00</t>
  </si>
  <si>
    <t xml:space="preserve"> 800,00</t>
  </si>
  <si>
    <t xml:space="preserve"> 834,00</t>
  </si>
  <si>
    <t xml:space="preserve"> 868,00</t>
  </si>
  <si>
    <t xml:space="preserve"> 902,00</t>
  </si>
  <si>
    <t xml:space="preserve"> 935,00</t>
  </si>
  <si>
    <t xml:space="preserve"> 969,00</t>
  </si>
  <si>
    <t xml:space="preserve"> 1003,00</t>
  </si>
  <si>
    <t xml:space="preserve"> 1037,00</t>
  </si>
  <si>
    <t xml:space="preserve"> 1071,00</t>
  </si>
  <si>
    <t xml:space="preserve"> 1105,00</t>
  </si>
  <si>
    <t xml:space="preserve"> 1138,00</t>
  </si>
  <si>
    <t xml:space="preserve"> 1172,00</t>
  </si>
  <si>
    <t xml:space="preserve"> 1206,00</t>
  </si>
  <si>
    <t xml:space="preserve"> 1240,00</t>
  </si>
  <si>
    <t xml:space="preserve"> 1274,00</t>
  </si>
  <si>
    <t xml:space="preserve"> 1308,00</t>
  </si>
  <si>
    <t xml:space="preserve"> 1341,00</t>
  </si>
  <si>
    <t xml:space="preserve"> 1375,00</t>
  </si>
  <si>
    <t xml:space="preserve"> 1431,00</t>
  </si>
  <si>
    <t xml:space="preserve"> 1514,00</t>
  </si>
  <si>
    <t xml:space="preserve"> 1597,00</t>
  </si>
  <si>
    <t xml:space="preserve"> 1680,00</t>
  </si>
  <si>
    <t xml:space="preserve"> 1763,00</t>
  </si>
  <si>
    <t xml:space="preserve"> 1846,00</t>
  </si>
  <si>
    <t xml:space="preserve"> 1929,00</t>
  </si>
  <si>
    <t xml:space="preserve"> 1988,00</t>
  </si>
  <si>
    <t xml:space="preserve"> 2047,00</t>
  </si>
  <si>
    <t xml:space="preserve"> 2106,00</t>
  </si>
  <si>
    <t xml:space="preserve"> 2185,00</t>
  </si>
  <si>
    <t xml:space="preserve"> 2284,00</t>
  </si>
  <si>
    <t xml:space="preserve"> 2382,00</t>
  </si>
  <si>
    <t xml:space="preserve"> 2481,00</t>
  </si>
  <si>
    <t xml:space="preserve"> 2579,00</t>
  </si>
  <si>
    <t xml:space="preserve"> 2678,00</t>
  </si>
  <si>
    <t xml:space="preserve"> 2777,00</t>
  </si>
  <si>
    <t xml:space="preserve"> 2875,00</t>
  </si>
  <si>
    <t xml:space="preserve"> 2974,00</t>
  </si>
  <si>
    <t xml:space="preserve"> 3072,00</t>
  </si>
  <si>
    <t xml:space="preserve"> 3171,00</t>
  </si>
  <si>
    <t xml:space="preserve"> 3270,00</t>
  </si>
  <si>
    <t xml:space="preserve"> 3368,00</t>
  </si>
  <si>
    <t xml:space="preserve"> 3467,00</t>
  </si>
  <si>
    <t xml:space="preserve"> 3565,00</t>
  </si>
  <si>
    <t xml:space="preserve"> 3664,00</t>
  </si>
  <si>
    <t xml:space="preserve"> 3762,00</t>
  </si>
  <si>
    <t>15,30</t>
  </si>
  <si>
    <t>16,70</t>
  </si>
  <si>
    <t>18,00</t>
  </si>
  <si>
    <t>19,20</t>
  </si>
  <si>
    <t>20,40</t>
  </si>
  <si>
    <t>21,50</t>
  </si>
  <si>
    <t>22,70</t>
  </si>
  <si>
    <t>23,80</t>
  </si>
  <si>
    <t>25,00</t>
  </si>
  <si>
    <t>26,00</t>
  </si>
  <si>
    <t>27,50</t>
  </si>
  <si>
    <t>28,50</t>
  </si>
  <si>
    <t>29,50</t>
  </si>
  <si>
    <t>30,50</t>
  </si>
  <si>
    <t>32,00</t>
  </si>
  <si>
    <t>33,00</t>
  </si>
  <si>
    <t>34,00</t>
  </si>
  <si>
    <t>35,50</t>
  </si>
  <si>
    <t>36,50</t>
  </si>
  <si>
    <t>37,50</t>
  </si>
  <si>
    <t>39,00</t>
  </si>
  <si>
    <t>40,00</t>
  </si>
  <si>
    <t>41,00</t>
  </si>
  <si>
    <t>42,50</t>
  </si>
  <si>
    <t>43,50</t>
  </si>
  <si>
    <t>44,50</t>
  </si>
  <si>
    <t>45,50</t>
  </si>
  <si>
    <t>47,00</t>
  </si>
  <si>
    <t>52,00</t>
  </si>
  <si>
    <t>54,00</t>
  </si>
  <si>
    <t>57,00</t>
  </si>
  <si>
    <t>68,00</t>
  </si>
  <si>
    <t>72,00</t>
  </si>
  <si>
    <t>75,00</t>
  </si>
  <si>
    <t>78,00</t>
  </si>
  <si>
    <t>81,00</t>
  </si>
  <si>
    <t>85,00</t>
  </si>
  <si>
    <t>88,00</t>
  </si>
  <si>
    <t>91,00</t>
  </si>
  <si>
    <t>95,00</t>
  </si>
  <si>
    <t>98,00</t>
  </si>
  <si>
    <t>101,00</t>
  </si>
  <si>
    <t>105,00</t>
  </si>
  <si>
    <t>108,00</t>
  </si>
  <si>
    <t>111,00</t>
  </si>
  <si>
    <t>115,00</t>
  </si>
  <si>
    <t>118,00</t>
  </si>
  <si>
    <t>122,00</t>
  </si>
  <si>
    <t>125,00</t>
  </si>
  <si>
    <t>128,00</t>
  </si>
  <si>
    <t>133,00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</si>
</sst>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€&quot;\ #,##0;[Red]\-&quot;€&quot;\ #,##0"/>
    <numFmt numFmtId="43" formatCode="_-* #,##0.00_-;\-* #,##0.00_-;_-* &quot;-&quot;??_-;_-@_-"/>
    <numFmt numFmtId="164" formatCode="[$-F800]dddd\,\ mmmm\ dd\,\ yyyy"/>
    <numFmt numFmtId="165" formatCode="#,##0.00_ ;[Red]\-#,##0.00\ "/>
    <numFmt numFmtId="166" formatCode="0.0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8"/>
      <color rgb="FF475057"/>
      <name val="Arial"/>
      <family val="2"/>
    </font>
    <font>
      <sz val="8"/>
      <color rgb="FF363D42"/>
      <name val="Arial"/>
      <family val="2"/>
    </font>
    <font>
      <sz val="8"/>
      <name val="Calibri"/>
      <family val="2"/>
      <scheme val="minor"/>
    </font>
    <font>
      <b/>
      <sz val="8.5"/>
      <name val="Tahoma"/>
      <family val="2"/>
    </font>
    <font>
      <sz val="7"/>
      <name val="Tahoma"/>
      <family val="2"/>
    </font>
    <font>
      <sz val="7"/>
      <color rgb="FF00000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8"/>
      <color rgb="FF000000"/>
      <name val="Tahoma"/>
      <family val="2"/>
    </font>
    <font>
      <sz val="10"/>
      <color theme="1"/>
      <name val="Calibri"/>
      <family val="2"/>
      <scheme val="minor"/>
    </font>
    <font>
      <sz val="9"/>
      <color theme="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theme="0"/>
      <name val="Tahoma"/>
      <family val="2"/>
    </font>
    <font>
      <u/>
      <sz val="11"/>
      <color theme="10"/>
      <name val="Calibri"/>
      <family val="2"/>
      <scheme val="minor"/>
    </font>
    <font>
      <sz val="11"/>
      <color rgb="FF3A3A3A"/>
      <name val="Circular Std"/>
    </font>
    <font>
      <b/>
      <sz val="9"/>
      <color rgb="FFFF0000"/>
      <name val="Tahoma"/>
      <family val="2"/>
    </font>
    <font>
      <sz val="12"/>
      <color rgb="FF006AB3"/>
      <name val="Calibri"/>
      <family val="2"/>
      <scheme val="minor"/>
    </font>
    <font>
      <sz val="11"/>
      <color theme="1"/>
      <name val="Circular Std"/>
    </font>
    <font>
      <sz val="12"/>
      <color rgb="FF006AB3"/>
      <name val="Circular Std"/>
    </font>
    <font>
      <sz val="9"/>
      <color theme="0"/>
      <name val="Tahoma"/>
      <family val="2"/>
    </font>
    <font>
      <sz val="18"/>
      <color theme="1"/>
      <name val="Calibri"/>
      <family val="2"/>
      <scheme val="minor"/>
    </font>
    <font>
      <sz val="12"/>
      <color theme="1"/>
      <name val="Tahoma"/>
      <family val="2"/>
    </font>
    <font>
      <sz val="12"/>
      <name val="Tahoma"/>
      <family val="2"/>
    </font>
    <font>
      <sz val="18"/>
      <color theme="0"/>
      <name val="Tahoma"/>
      <family val="2"/>
    </font>
    <font>
      <sz val="18"/>
      <color theme="1"/>
      <name val="Tahoma"/>
      <family val="2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9"/>
      <color theme="8" tint="-0.249977111117893"/>
      <name val="Tahoma"/>
      <family val="2"/>
    </font>
  </fonts>
  <fills count="5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0DAE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565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/>
      <right/>
      <top/>
      <bottom style="medium">
        <color rgb="FFF1F5F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0000"/>
      </left>
      <right style="thin">
        <color rgb="FF000000"/>
      </right>
      <top/>
      <bottom style="thin">
        <color theme="0" tint="-0.34998626667073579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57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 wrapText="1"/>
    </xf>
    <xf numFmtId="0" fontId="18" fillId="0" borderId="10" xfId="0" applyFont="1" applyBorder="1"/>
    <xf numFmtId="2" fontId="19" fillId="36" borderId="10" xfId="0" applyNumberFormat="1" applyFont="1" applyFill="1" applyBorder="1" applyAlignment="1">
      <alignment horizontal="left" vertical="center" wrapText="1" indent="1"/>
    </xf>
    <xf numFmtId="2" fontId="20" fillId="36" borderId="10" xfId="0" applyNumberFormat="1" applyFont="1" applyFill="1" applyBorder="1" applyAlignment="1">
      <alignment horizontal="left" vertical="center" wrapText="1" indent="1"/>
    </xf>
    <xf numFmtId="2" fontId="18" fillId="0" borderId="10" xfId="0" applyNumberFormat="1" applyFont="1" applyBorder="1"/>
    <xf numFmtId="0" fontId="0" fillId="0" borderId="10" xfId="0" applyBorder="1"/>
    <xf numFmtId="0" fontId="0" fillId="0" borderId="10" xfId="0" applyBorder="1" applyAlignment="1">
      <alignment horizontal="center"/>
    </xf>
    <xf numFmtId="164" fontId="0" fillId="0" borderId="11" xfId="0" applyNumberFormat="1" applyBorder="1"/>
    <xf numFmtId="164" fontId="0" fillId="37" borderId="11" xfId="0" applyNumberFormat="1" applyFill="1" applyBorder="1"/>
    <xf numFmtId="0" fontId="0" fillId="0" borderId="13" xfId="0" applyBorder="1" applyAlignment="1">
      <alignment horizontal="center"/>
    </xf>
    <xf numFmtId="0" fontId="0" fillId="37" borderId="0" xfId="0" applyFill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0" fillId="40" borderId="13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0" xfId="0" applyFill="1"/>
    <xf numFmtId="2" fontId="0" fillId="0" borderId="0" xfId="0" applyNumberFormat="1" applyAlignment="1">
      <alignment horizontal="right"/>
    </xf>
    <xf numFmtId="0" fontId="23" fillId="0" borderId="18" xfId="0" applyFont="1" applyBorder="1" applyAlignment="1">
      <alignment horizontal="left" vertical="top" wrapText="1" indent="1"/>
    </xf>
    <xf numFmtId="0" fontId="23" fillId="0" borderId="18" xfId="0" applyFont="1" applyBorder="1" applyAlignment="1">
      <alignment horizontal="left" vertical="center" wrapText="1" indent="1"/>
    </xf>
    <xf numFmtId="0" fontId="23" fillId="0" borderId="19" xfId="0" applyFont="1" applyBorder="1" applyAlignment="1">
      <alignment horizontal="left" vertical="center" wrapText="1" indent="1"/>
    </xf>
    <xf numFmtId="0" fontId="23" fillId="0" borderId="18" xfId="0" applyFont="1" applyBorder="1" applyAlignment="1">
      <alignment horizontal="center" vertical="center" wrapText="1"/>
    </xf>
    <xf numFmtId="2" fontId="24" fillId="0" borderId="21" xfId="0" applyNumberFormat="1" applyFont="1" applyBorder="1" applyAlignment="1">
      <alignment horizontal="left" vertical="center" indent="2" shrinkToFit="1"/>
    </xf>
    <xf numFmtId="2" fontId="24" fillId="0" borderId="22" xfId="0" applyNumberFormat="1" applyFont="1" applyBorder="1" applyAlignment="1">
      <alignment horizontal="left" vertical="center" indent="3" shrinkToFit="1"/>
    </xf>
    <xf numFmtId="2" fontId="24" fillId="0" borderId="21" xfId="0" applyNumberFormat="1" applyFont="1" applyBorder="1" applyAlignment="1">
      <alignment horizontal="center" vertical="center" shrinkToFit="1"/>
    </xf>
    <xf numFmtId="2" fontId="24" fillId="0" borderId="0" xfId="0" applyNumberFormat="1" applyFont="1" applyAlignment="1">
      <alignment horizontal="left" vertical="top" indent="2" shrinkToFit="1"/>
    </xf>
    <xf numFmtId="2" fontId="24" fillId="0" borderId="24" xfId="0" applyNumberFormat="1" applyFont="1" applyBorder="1" applyAlignment="1">
      <alignment horizontal="left" vertical="top" indent="3" shrinkToFit="1"/>
    </xf>
    <xf numFmtId="2" fontId="24" fillId="0" borderId="0" xfId="0" applyNumberFormat="1" applyFont="1" applyAlignment="1">
      <alignment horizontal="center" vertical="top" shrinkToFit="1"/>
    </xf>
    <xf numFmtId="0" fontId="0" fillId="0" borderId="0" xfId="0" applyAlignment="1">
      <alignment horizontal="left" vertical="top"/>
    </xf>
    <xf numFmtId="0" fontId="0" fillId="0" borderId="23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26" fillId="0" borderId="26" xfId="0" applyFont="1" applyBorder="1" applyAlignment="1">
      <alignment horizontal="center" vertical="top" wrapText="1"/>
    </xf>
    <xf numFmtId="1" fontId="27" fillId="0" borderId="27" xfId="0" applyNumberFormat="1" applyFont="1" applyBorder="1" applyAlignment="1">
      <alignment horizontal="center" vertical="top" shrinkToFit="1"/>
    </xf>
    <xf numFmtId="0" fontId="26" fillId="0" borderId="27" xfId="0" applyFont="1" applyBorder="1" applyAlignment="1">
      <alignment horizontal="center" vertical="top" wrapText="1"/>
    </xf>
    <xf numFmtId="0" fontId="0" fillId="0" borderId="27" xfId="0" applyBorder="1" applyAlignment="1">
      <alignment horizontal="left" wrapText="1"/>
    </xf>
    <xf numFmtId="0" fontId="0" fillId="0" borderId="0" xfId="0" applyAlignment="1">
      <alignment horizontal="center" vertical="top"/>
    </xf>
    <xf numFmtId="0" fontId="0" fillId="41" borderId="0" xfId="0" applyFill="1"/>
    <xf numFmtId="0" fontId="28" fillId="0" borderId="0" xfId="0" applyFont="1" applyAlignment="1">
      <alignment horizontal="right" vertical="top" wrapText="1"/>
    </xf>
    <xf numFmtId="0" fontId="25" fillId="0" borderId="0" xfId="0" applyFont="1" applyAlignment="1">
      <alignment wrapText="1"/>
    </xf>
    <xf numFmtId="0" fontId="25" fillId="0" borderId="24" xfId="0" applyFont="1" applyBorder="1" applyAlignment="1">
      <alignment wrapText="1"/>
    </xf>
    <xf numFmtId="0" fontId="29" fillId="0" borderId="0" xfId="0" applyFont="1" applyAlignment="1">
      <alignment horizontal="left" vertical="top"/>
    </xf>
    <xf numFmtId="0" fontId="29" fillId="0" borderId="0" xfId="0" applyFont="1" applyAlignment="1">
      <alignment horizontal="right" vertical="top"/>
    </xf>
    <xf numFmtId="0" fontId="29" fillId="0" borderId="0" xfId="0" applyFont="1" applyAlignment="1">
      <alignment horizontal="center" vertical="center"/>
    </xf>
    <xf numFmtId="2" fontId="29" fillId="0" borderId="0" xfId="0" applyNumberFormat="1" applyFont="1" applyAlignment="1">
      <alignment horizontal="left" vertical="top"/>
    </xf>
    <xf numFmtId="0" fontId="29" fillId="0" borderId="0" xfId="0" applyFont="1" applyAlignment="1">
      <alignment horizontal="center" vertical="top"/>
    </xf>
    <xf numFmtId="2" fontId="24" fillId="39" borderId="21" xfId="0" applyNumberFormat="1" applyFont="1" applyFill="1" applyBorder="1" applyAlignment="1">
      <alignment horizontal="left" vertical="center" indent="2" shrinkToFit="1"/>
    </xf>
    <xf numFmtId="164" fontId="0" fillId="41" borderId="0" xfId="0" applyNumberFormat="1" applyFill="1"/>
    <xf numFmtId="2" fontId="0" fillId="41" borderId="14" xfId="0" applyNumberFormat="1" applyFill="1" applyBorder="1" applyAlignment="1">
      <alignment horizontal="center"/>
    </xf>
    <xf numFmtId="2" fontId="0" fillId="41" borderId="16" xfId="0" applyNumberFormat="1" applyFill="1" applyBorder="1" applyAlignment="1">
      <alignment horizontal="center"/>
    </xf>
    <xf numFmtId="2" fontId="0" fillId="41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1" fontId="29" fillId="0" borderId="0" xfId="0" applyNumberFormat="1" applyFont="1" applyAlignment="1">
      <alignment horizontal="center" vertical="center"/>
    </xf>
    <xf numFmtId="0" fontId="34" fillId="0" borderId="40" xfId="0" applyFont="1" applyBorder="1" applyAlignment="1">
      <alignment vertical="top" wrapText="1" indent="1"/>
    </xf>
    <xf numFmtId="0" fontId="36" fillId="0" borderId="0" xfId="0" applyFont="1"/>
    <xf numFmtId="0" fontId="37" fillId="0" borderId="40" xfId="0" applyFont="1" applyBorder="1" applyAlignment="1">
      <alignment vertical="top" wrapText="1" indent="1"/>
    </xf>
    <xf numFmtId="6" fontId="34" fillId="0" borderId="40" xfId="0" applyNumberFormat="1" applyFont="1" applyBorder="1" applyAlignment="1">
      <alignment vertical="top" wrapText="1" indent="1"/>
    </xf>
    <xf numFmtId="0" fontId="38" fillId="0" borderId="0" xfId="0" applyFont="1"/>
    <xf numFmtId="0" fontId="0" fillId="47" borderId="0" xfId="0" applyFill="1"/>
    <xf numFmtId="164" fontId="0" fillId="45" borderId="0" xfId="0" applyNumberFormat="1" applyFill="1"/>
    <xf numFmtId="0" fontId="0" fillId="49" borderId="0" xfId="0" applyFill="1"/>
    <xf numFmtId="2" fontId="0" fillId="34" borderId="16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43" applyFont="1"/>
    <xf numFmtId="43" fontId="0" fillId="0" borderId="0" xfId="1" applyFont="1"/>
    <xf numFmtId="43" fontId="0" fillId="0" borderId="0" xfId="1" applyFont="1" applyAlignment="1">
      <alignment horizontal="center"/>
    </xf>
    <xf numFmtId="43" fontId="0" fillId="0" borderId="0" xfId="0" applyNumberFormat="1"/>
    <xf numFmtId="43" fontId="0" fillId="0" borderId="0" xfId="1" applyFont="1" applyAlignment="1">
      <alignment horizontal="right"/>
    </xf>
    <xf numFmtId="43" fontId="0" fillId="35" borderId="0" xfId="1" applyFont="1" applyFill="1"/>
    <xf numFmtId="2" fontId="0" fillId="35" borderId="0" xfId="0" applyNumberFormat="1" applyFill="1"/>
    <xf numFmtId="43" fontId="0" fillId="47" borderId="0" xfId="1" applyFont="1" applyFill="1"/>
    <xf numFmtId="2" fontId="0" fillId="47" borderId="0" xfId="0" applyNumberFormat="1" applyFill="1"/>
    <xf numFmtId="10" fontId="0" fillId="0" borderId="0" xfId="43" applyNumberFormat="1" applyFont="1"/>
    <xf numFmtId="43" fontId="0" fillId="0" borderId="0" xfId="1" applyFont="1" applyFill="1"/>
    <xf numFmtId="10" fontId="0" fillId="0" borderId="0" xfId="43" applyNumberFormat="1" applyFont="1" applyFill="1"/>
    <xf numFmtId="43" fontId="0" fillId="35" borderId="0" xfId="1" applyFont="1" applyFill="1" applyAlignment="1">
      <alignment horizontal="right"/>
    </xf>
    <xf numFmtId="4" fontId="26" fillId="0" borderId="25" xfId="0" applyNumberFormat="1" applyFont="1" applyBorder="1" applyAlignment="1">
      <alignment horizontal="left" vertical="top" wrapText="1" indent="2"/>
    </xf>
    <xf numFmtId="0" fontId="0" fillId="34" borderId="0" xfId="0" applyFill="1" applyAlignment="1">
      <alignment horizontal="center" wrapText="1"/>
    </xf>
    <xf numFmtId="0" fontId="0" fillId="44" borderId="0" xfId="0" applyFill="1" applyAlignment="1">
      <alignment horizontal="center" wrapText="1"/>
    </xf>
    <xf numFmtId="0" fontId="0" fillId="50" borderId="0" xfId="0" applyFill="1" applyAlignment="1">
      <alignment horizontal="center" wrapText="1"/>
    </xf>
    <xf numFmtId="43" fontId="29" fillId="0" borderId="43" xfId="1" applyFont="1" applyBorder="1" applyAlignment="1">
      <alignment vertical="top"/>
    </xf>
    <xf numFmtId="43" fontId="29" fillId="0" borderId="44" xfId="1" applyFont="1" applyBorder="1" applyAlignment="1">
      <alignment vertical="center"/>
    </xf>
    <xf numFmtId="165" fontId="29" fillId="0" borderId="44" xfId="1" applyNumberFormat="1" applyFont="1" applyBorder="1" applyAlignment="1">
      <alignment vertical="center"/>
    </xf>
    <xf numFmtId="43" fontId="29" fillId="0" borderId="44" xfId="1" applyFont="1" applyFill="1" applyBorder="1" applyAlignment="1">
      <alignment vertical="center"/>
    </xf>
    <xf numFmtId="0" fontId="29" fillId="44" borderId="10" xfId="0" applyFont="1" applyFill="1" applyBorder="1" applyAlignment="1">
      <alignment horizontal="center" vertical="center" wrapText="1"/>
    </xf>
    <xf numFmtId="0" fontId="29" fillId="37" borderId="10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31" fillId="51" borderId="10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vertical="center" wrapText="1"/>
    </xf>
    <xf numFmtId="0" fontId="31" fillId="0" borderId="44" xfId="1" applyNumberFormat="1" applyFont="1" applyBorder="1" applyAlignment="1">
      <alignment horizontal="center" vertical="center"/>
    </xf>
    <xf numFmtId="2" fontId="0" fillId="0" borderId="10" xfId="0" applyNumberFormat="1" applyBorder="1"/>
    <xf numFmtId="1" fontId="29" fillId="0" borderId="17" xfId="0" applyNumberFormat="1" applyFont="1" applyBorder="1" applyAlignment="1">
      <alignment horizontal="center" vertical="center"/>
    </xf>
    <xf numFmtId="1" fontId="33" fillId="0" borderId="28" xfId="44" applyNumberForma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47" borderId="0" xfId="0" applyFill="1" applyAlignment="1">
      <alignment horizontal="center"/>
    </xf>
    <xf numFmtId="0" fontId="0" fillId="0" borderId="0" xfId="0" applyAlignment="1">
      <alignment horizontal="center" vertical="center"/>
    </xf>
    <xf numFmtId="164" fontId="0" fillId="37" borderId="0" xfId="0" applyNumberFormat="1" applyFill="1"/>
    <xf numFmtId="164" fontId="0" fillId="47" borderId="0" xfId="0" applyNumberFormat="1" applyFill="1"/>
    <xf numFmtId="164" fontId="0" fillId="0" borderId="0" xfId="0" applyNumberFormat="1"/>
    <xf numFmtId="0" fontId="0" fillId="45" borderId="0" xfId="0" applyFill="1"/>
    <xf numFmtId="0" fontId="0" fillId="42" borderId="0" xfId="0" applyFill="1"/>
    <xf numFmtId="2" fontId="0" fillId="42" borderId="0" xfId="0" applyNumberFormat="1" applyFill="1"/>
    <xf numFmtId="164" fontId="0" fillId="48" borderId="0" xfId="0" applyNumberFormat="1" applyFill="1"/>
    <xf numFmtId="0" fontId="0" fillId="0" borderId="49" xfId="0" applyBorder="1"/>
    <xf numFmtId="0" fontId="0" fillId="0" borderId="50" xfId="0" applyBorder="1"/>
    <xf numFmtId="0" fontId="0" fillId="47" borderId="50" xfId="0" applyFill="1" applyBorder="1" applyAlignment="1">
      <alignment horizontal="center"/>
    </xf>
    <xf numFmtId="0" fontId="0" fillId="41" borderId="49" xfId="0" applyFill="1" applyBorder="1"/>
    <xf numFmtId="0" fontId="0" fillId="0" borderId="50" xfId="0" applyBorder="1" applyAlignment="1">
      <alignment horizontal="center" vertical="center"/>
    </xf>
    <xf numFmtId="164" fontId="0" fillId="37" borderId="49" xfId="0" applyNumberFormat="1" applyFill="1" applyBorder="1"/>
    <xf numFmtId="0" fontId="0" fillId="37" borderId="50" xfId="0" applyFill="1" applyBorder="1"/>
    <xf numFmtId="164" fontId="0" fillId="47" borderId="49" xfId="0" applyNumberFormat="1" applyFill="1" applyBorder="1"/>
    <xf numFmtId="164" fontId="0" fillId="47" borderId="50" xfId="0" applyNumberFormat="1" applyFill="1" applyBorder="1"/>
    <xf numFmtId="164" fontId="0" fillId="0" borderId="49" xfId="0" applyNumberFormat="1" applyBorder="1"/>
    <xf numFmtId="0" fontId="0" fillId="47" borderId="50" xfId="0" applyFill="1" applyBorder="1"/>
    <xf numFmtId="164" fontId="0" fillId="48" borderId="50" xfId="0" applyNumberFormat="1" applyFill="1" applyBorder="1"/>
    <xf numFmtId="0" fontId="0" fillId="42" borderId="49" xfId="0" applyFill="1" applyBorder="1"/>
    <xf numFmtId="2" fontId="0" fillId="42" borderId="50" xfId="0" applyNumberFormat="1" applyFill="1" applyBorder="1"/>
    <xf numFmtId="164" fontId="0" fillId="45" borderId="49" xfId="0" applyNumberFormat="1" applyFill="1" applyBorder="1"/>
    <xf numFmtId="2" fontId="0" fillId="0" borderId="50" xfId="0" applyNumberFormat="1" applyBorder="1"/>
    <xf numFmtId="164" fontId="0" fillId="0" borderId="50" xfId="0" applyNumberFormat="1" applyBorder="1"/>
    <xf numFmtId="0" fontId="0" fillId="0" borderId="51" xfId="0" applyBorder="1"/>
    <xf numFmtId="0" fontId="0" fillId="0" borderId="52" xfId="0" applyBorder="1"/>
    <xf numFmtId="0" fontId="0" fillId="42" borderId="52" xfId="0" applyFill="1" applyBorder="1"/>
    <xf numFmtId="2" fontId="0" fillId="42" borderId="52" xfId="0" applyNumberFormat="1" applyFill="1" applyBorder="1"/>
    <xf numFmtId="0" fontId="0" fillId="0" borderId="53" xfId="0" applyBorder="1"/>
    <xf numFmtId="0" fontId="0" fillId="48" borderId="0" xfId="0" applyFill="1"/>
    <xf numFmtId="0" fontId="0" fillId="0" borderId="54" xfId="0" applyBorder="1"/>
    <xf numFmtId="0" fontId="0" fillId="0" borderId="55" xfId="0" applyBorder="1"/>
    <xf numFmtId="0" fontId="0" fillId="47" borderId="55" xfId="0" applyFill="1" applyBorder="1"/>
    <xf numFmtId="0" fontId="0" fillId="41" borderId="54" xfId="0" applyFill="1" applyBorder="1"/>
    <xf numFmtId="0" fontId="0" fillId="0" borderId="55" xfId="0" applyBorder="1" applyAlignment="1">
      <alignment horizontal="center" vertical="center"/>
    </xf>
    <xf numFmtId="164" fontId="0" fillId="37" borderId="54" xfId="0" applyNumberFormat="1" applyFill="1" applyBorder="1"/>
    <xf numFmtId="0" fontId="0" fillId="37" borderId="55" xfId="0" applyFill="1" applyBorder="1"/>
    <xf numFmtId="164" fontId="0" fillId="47" borderId="54" xfId="0" applyNumberFormat="1" applyFill="1" applyBorder="1"/>
    <xf numFmtId="164" fontId="0" fillId="41" borderId="55" xfId="0" applyNumberFormat="1" applyFill="1" applyBorder="1"/>
    <xf numFmtId="164" fontId="0" fillId="0" borderId="54" xfId="0" applyNumberFormat="1" applyBorder="1"/>
    <xf numFmtId="164" fontId="0" fillId="47" borderId="55" xfId="0" applyNumberFormat="1" applyFill="1" applyBorder="1"/>
    <xf numFmtId="2" fontId="0" fillId="42" borderId="55" xfId="0" applyNumberFormat="1" applyFill="1" applyBorder="1"/>
    <xf numFmtId="164" fontId="0" fillId="48" borderId="55" xfId="0" applyNumberFormat="1" applyFill="1" applyBorder="1"/>
    <xf numFmtId="0" fontId="0" fillId="42" borderId="54" xfId="0" applyFill="1" applyBorder="1"/>
    <xf numFmtId="164" fontId="0" fillId="45" borderId="54" xfId="0" applyNumberFormat="1" applyFill="1" applyBorder="1"/>
    <xf numFmtId="0" fontId="0" fillId="48" borderId="55" xfId="0" applyFill="1" applyBorder="1"/>
    <xf numFmtId="0" fontId="0" fillId="45" borderId="55" xfId="0" applyFill="1" applyBorder="1"/>
    <xf numFmtId="0" fontId="0" fillId="0" borderId="56" xfId="0" applyBorder="1"/>
    <xf numFmtId="0" fontId="0" fillId="0" borderId="57" xfId="0" applyBorder="1"/>
    <xf numFmtId="0" fontId="0" fillId="42" borderId="57" xfId="0" applyFill="1" applyBorder="1"/>
    <xf numFmtId="2" fontId="0" fillId="42" borderId="58" xfId="0" applyNumberFormat="1" applyFill="1" applyBorder="1"/>
    <xf numFmtId="0" fontId="45" fillId="0" borderId="0" xfId="0" applyFont="1" applyAlignment="1">
      <alignment vertical="center"/>
    </xf>
    <xf numFmtId="0" fontId="0" fillId="0" borderId="11" xfId="0" applyBorder="1"/>
    <xf numFmtId="0" fontId="0" fillId="0" borderId="33" xfId="0" applyBorder="1"/>
    <xf numFmtId="0" fontId="0" fillId="0" borderId="34" xfId="0" applyBorder="1"/>
    <xf numFmtId="2" fontId="29" fillId="0" borderId="0" xfId="0" applyNumberFormat="1" applyFont="1" applyAlignment="1" applyProtection="1">
      <alignment horizontal="left" vertical="top"/>
      <protection hidden="1"/>
    </xf>
    <xf numFmtId="0" fontId="0" fillId="0" borderId="0" xfId="0" applyProtection="1">
      <protection hidden="1"/>
    </xf>
    <xf numFmtId="0" fontId="0" fillId="0" borderId="31" xfId="0" applyBorder="1" applyProtection="1">
      <protection hidden="1"/>
    </xf>
    <xf numFmtId="0" fontId="29" fillId="0" borderId="0" xfId="0" applyFont="1" applyAlignment="1" applyProtection="1">
      <alignment horizontal="right" vertical="top"/>
      <protection hidden="1"/>
    </xf>
    <xf numFmtId="43" fontId="30" fillId="0" borderId="0" xfId="0" applyNumberFormat="1" applyFont="1" applyAlignment="1" applyProtection="1">
      <alignment vertical="top" wrapText="1"/>
      <protection hidden="1"/>
    </xf>
    <xf numFmtId="0" fontId="33" fillId="0" borderId="0" xfId="44" applyFill="1" applyAlignment="1" applyProtection="1">
      <alignment horizontal="right" vertical="top"/>
      <protection hidden="1"/>
    </xf>
    <xf numFmtId="43" fontId="33" fillId="0" borderId="0" xfId="44" applyNumberFormat="1" applyFill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30" fillId="0" borderId="0" xfId="0" applyFont="1" applyAlignment="1" applyProtection="1">
      <alignment vertical="top" wrapText="1"/>
      <protection hidden="1"/>
    </xf>
    <xf numFmtId="0" fontId="29" fillId="0" borderId="0" xfId="0" applyFont="1" applyAlignment="1" applyProtection="1">
      <alignment horizontal="left" vertical="top"/>
      <protection hidden="1"/>
    </xf>
    <xf numFmtId="0" fontId="29" fillId="42" borderId="0" xfId="0" applyFont="1" applyFill="1" applyAlignment="1" applyProtection="1">
      <alignment horizontal="left" vertical="top"/>
      <protection hidden="1"/>
    </xf>
    <xf numFmtId="0" fontId="32" fillId="41" borderId="0" xfId="0" applyFont="1" applyFill="1" applyAlignment="1" applyProtection="1">
      <alignment horizontal="center" vertical="center" wrapText="1"/>
      <protection hidden="1"/>
    </xf>
    <xf numFmtId="0" fontId="0" fillId="49" borderId="0" xfId="0" applyFill="1" applyProtection="1">
      <protection hidden="1"/>
    </xf>
    <xf numFmtId="1" fontId="29" fillId="0" borderId="0" xfId="0" applyNumberFormat="1" applyFont="1" applyAlignment="1" applyProtection="1">
      <alignment horizontal="center" vertical="center"/>
      <protection hidden="1"/>
    </xf>
    <xf numFmtId="166" fontId="29" fillId="0" borderId="0" xfId="0" applyNumberFormat="1" applyFont="1" applyAlignment="1" applyProtection="1">
      <alignment horizontal="center" vertical="center"/>
      <protection hidden="1"/>
    </xf>
    <xf numFmtId="1" fontId="29" fillId="42" borderId="0" xfId="0" applyNumberFormat="1" applyFont="1" applyFill="1" applyAlignment="1" applyProtection="1">
      <alignment horizontal="center" vertical="center"/>
      <protection hidden="1"/>
    </xf>
    <xf numFmtId="0" fontId="34" fillId="0" borderId="40" xfId="0" applyFont="1" applyBorder="1" applyAlignment="1" applyProtection="1">
      <alignment horizontal="left" vertical="top" wrapText="1" indent="1"/>
      <protection hidden="1"/>
    </xf>
    <xf numFmtId="0" fontId="31" fillId="41" borderId="38" xfId="0" applyFont="1" applyFill="1" applyBorder="1" applyAlignment="1" applyProtection="1">
      <alignment horizontal="left" vertical="center" wrapText="1"/>
      <protection hidden="1"/>
    </xf>
    <xf numFmtId="0" fontId="29" fillId="41" borderId="38" xfId="0" applyFont="1" applyFill="1" applyBorder="1" applyAlignment="1" applyProtection="1">
      <alignment horizontal="center" vertical="center" wrapText="1"/>
      <protection hidden="1"/>
    </xf>
    <xf numFmtId="0" fontId="31" fillId="41" borderId="38" xfId="0" applyFont="1" applyFill="1" applyBorder="1" applyAlignment="1" applyProtection="1">
      <alignment horizontal="center" vertical="center" wrapText="1"/>
      <protection hidden="1"/>
    </xf>
    <xf numFmtId="0" fontId="31" fillId="41" borderId="39" xfId="0" applyFont="1" applyFill="1" applyBorder="1" applyAlignment="1" applyProtection="1">
      <alignment horizontal="center" vertical="center" wrapText="1"/>
      <protection hidden="1"/>
    </xf>
    <xf numFmtId="0" fontId="29" fillId="46" borderId="38" xfId="0" applyFont="1" applyFill="1" applyBorder="1" applyAlignment="1" applyProtection="1">
      <alignment horizontal="center" vertical="center" wrapText="1"/>
      <protection hidden="1"/>
    </xf>
    <xf numFmtId="2" fontId="29" fillId="0" borderId="0" xfId="0" applyNumberFormat="1" applyFont="1" applyAlignment="1" applyProtection="1">
      <alignment horizontal="right" vertical="top"/>
      <protection hidden="1"/>
    </xf>
    <xf numFmtId="43" fontId="29" fillId="41" borderId="35" xfId="1" applyFont="1" applyFill="1" applyBorder="1" applyAlignment="1" applyProtection="1">
      <alignment horizontal="center" vertical="center"/>
      <protection hidden="1"/>
    </xf>
    <xf numFmtId="165" fontId="29" fillId="41" borderId="37" xfId="1" applyNumberFormat="1" applyFont="1" applyFill="1" applyBorder="1" applyAlignment="1" applyProtection="1">
      <alignment horizontal="right" vertical="top"/>
      <protection hidden="1"/>
    </xf>
    <xf numFmtId="43" fontId="29" fillId="41" borderId="36" xfId="1" applyFont="1" applyFill="1" applyBorder="1" applyAlignment="1" applyProtection="1">
      <alignment horizontal="center" vertical="center"/>
      <protection hidden="1"/>
    </xf>
    <xf numFmtId="165" fontId="29" fillId="0" borderId="37" xfId="1" applyNumberFormat="1" applyFont="1" applyBorder="1" applyAlignment="1" applyProtection="1">
      <alignment horizontal="right" vertical="top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29" fillId="42" borderId="16" xfId="0" applyFont="1" applyFill="1" applyBorder="1" applyAlignment="1" applyProtection="1">
      <alignment horizontal="center" vertical="top"/>
      <protection hidden="1"/>
    </xf>
    <xf numFmtId="0" fontId="29" fillId="42" borderId="0" xfId="0" applyFont="1" applyFill="1" applyAlignment="1" applyProtection="1">
      <alignment horizontal="center" vertical="top"/>
      <protection hidden="1"/>
    </xf>
    <xf numFmtId="0" fontId="29" fillId="42" borderId="31" xfId="0" applyFont="1" applyFill="1" applyBorder="1" applyAlignment="1" applyProtection="1">
      <alignment horizontal="center" vertical="top"/>
      <protection hidden="1"/>
    </xf>
    <xf numFmtId="0" fontId="29" fillId="42" borderId="0" xfId="0" applyFont="1" applyFill="1" applyAlignment="1" applyProtection="1">
      <alignment horizontal="center" vertical="center"/>
      <protection hidden="1"/>
    </xf>
    <xf numFmtId="0" fontId="35" fillId="42" borderId="0" xfId="0" applyFont="1" applyFill="1" applyAlignment="1" applyProtection="1">
      <alignment horizontal="center" vertical="top"/>
      <protection hidden="1"/>
    </xf>
    <xf numFmtId="0" fontId="29" fillId="39" borderId="16" xfId="0" applyFont="1" applyFill="1" applyBorder="1" applyAlignment="1" applyProtection="1">
      <alignment horizontal="left" vertical="top"/>
      <protection hidden="1"/>
    </xf>
    <xf numFmtId="0" fontId="29" fillId="39" borderId="31" xfId="0" applyFont="1" applyFill="1" applyBorder="1" applyAlignment="1" applyProtection="1">
      <alignment horizontal="left" vertical="top"/>
      <protection hidden="1"/>
    </xf>
    <xf numFmtId="0" fontId="29" fillId="39" borderId="31" xfId="0" applyFont="1" applyFill="1" applyBorder="1" applyAlignment="1" applyProtection="1">
      <alignment horizontal="right" vertical="center"/>
      <protection hidden="1"/>
    </xf>
    <xf numFmtId="43" fontId="29" fillId="0" borderId="35" xfId="1" applyFont="1" applyFill="1" applyBorder="1" applyAlignment="1" applyProtection="1">
      <alignment horizontal="center" vertical="center"/>
      <protection hidden="1"/>
    </xf>
    <xf numFmtId="165" fontId="29" fillId="0" borderId="37" xfId="1" applyNumberFormat="1" applyFont="1" applyFill="1" applyBorder="1" applyAlignment="1" applyProtection="1">
      <alignment horizontal="right" vertical="top"/>
      <protection hidden="1"/>
    </xf>
    <xf numFmtId="43" fontId="29" fillId="0" borderId="36" xfId="1" applyFont="1" applyFill="1" applyBorder="1" applyAlignment="1" applyProtection="1">
      <alignment horizontal="center" vertical="center"/>
      <protection hidden="1"/>
    </xf>
    <xf numFmtId="0" fontId="29" fillId="42" borderId="11" xfId="0" applyFont="1" applyFill="1" applyBorder="1" applyAlignment="1" applyProtection="1">
      <alignment vertical="top"/>
      <protection hidden="1"/>
    </xf>
    <xf numFmtId="0" fontId="29" fillId="42" borderId="33" xfId="0" applyFont="1" applyFill="1" applyBorder="1" applyAlignment="1" applyProtection="1">
      <alignment vertical="top"/>
      <protection hidden="1"/>
    </xf>
    <xf numFmtId="0" fontId="29" fillId="39" borderId="11" xfId="0" applyFont="1" applyFill="1" applyBorder="1" applyAlignment="1" applyProtection="1">
      <alignment vertical="top"/>
      <protection hidden="1"/>
    </xf>
    <xf numFmtId="0" fontId="29" fillId="39" borderId="33" xfId="0" applyFont="1" applyFill="1" applyBorder="1" applyAlignment="1" applyProtection="1">
      <alignment vertical="top"/>
      <protection hidden="1"/>
    </xf>
    <xf numFmtId="2" fontId="29" fillId="0" borderId="0" xfId="0" applyNumberFormat="1" applyFont="1" applyAlignment="1" applyProtection="1">
      <alignment vertical="top"/>
      <protection hidden="1"/>
    </xf>
    <xf numFmtId="0" fontId="29" fillId="39" borderId="16" xfId="0" applyFont="1" applyFill="1" applyBorder="1" applyAlignment="1" applyProtection="1">
      <alignment vertical="top"/>
      <protection hidden="1"/>
    </xf>
    <xf numFmtId="2" fontId="29" fillId="39" borderId="28" xfId="0" applyNumberFormat="1" applyFont="1" applyFill="1" applyBorder="1" applyAlignment="1" applyProtection="1">
      <alignment vertical="top"/>
      <protection hidden="1"/>
    </xf>
    <xf numFmtId="2" fontId="29" fillId="39" borderId="31" xfId="0" applyNumberFormat="1" applyFont="1" applyFill="1" applyBorder="1" applyAlignment="1" applyProtection="1">
      <alignment vertical="top"/>
      <protection hidden="1"/>
    </xf>
    <xf numFmtId="0" fontId="29" fillId="39" borderId="17" xfId="0" applyFont="1" applyFill="1" applyBorder="1" applyAlignment="1" applyProtection="1">
      <alignment horizontal="left" vertical="top"/>
      <protection hidden="1"/>
    </xf>
    <xf numFmtId="0" fontId="29" fillId="39" borderId="32" xfId="0" applyFont="1" applyFill="1" applyBorder="1" applyAlignment="1" applyProtection="1">
      <alignment horizontal="left" vertical="top"/>
      <protection hidden="1"/>
    </xf>
    <xf numFmtId="0" fontId="29" fillId="39" borderId="31" xfId="0" applyFont="1" applyFill="1" applyBorder="1" applyAlignment="1" applyProtection="1">
      <alignment horizontal="right" vertical="top"/>
      <protection hidden="1"/>
    </xf>
    <xf numFmtId="0" fontId="29" fillId="39" borderId="17" xfId="0" applyFont="1" applyFill="1" applyBorder="1" applyAlignment="1" applyProtection="1">
      <alignment vertical="top"/>
      <protection hidden="1"/>
    </xf>
    <xf numFmtId="2" fontId="29" fillId="39" borderId="32" xfId="0" applyNumberFormat="1" applyFont="1" applyFill="1" applyBorder="1" applyAlignment="1" applyProtection="1">
      <alignment vertical="top"/>
      <protection hidden="1"/>
    </xf>
    <xf numFmtId="0" fontId="29" fillId="42" borderId="16" xfId="0" applyFont="1" applyFill="1" applyBorder="1" applyAlignment="1" applyProtection="1">
      <alignment vertical="top"/>
      <protection hidden="1"/>
    </xf>
    <xf numFmtId="0" fontId="29" fillId="42" borderId="0" xfId="0" applyFont="1" applyFill="1" applyAlignment="1" applyProtection="1">
      <alignment vertical="top"/>
      <protection hidden="1"/>
    </xf>
    <xf numFmtId="2" fontId="29" fillId="42" borderId="28" xfId="0" applyNumberFormat="1" applyFont="1" applyFill="1" applyBorder="1" applyAlignment="1" applyProtection="1">
      <alignment vertical="top"/>
      <protection hidden="1"/>
    </xf>
    <xf numFmtId="2" fontId="29" fillId="42" borderId="31" xfId="0" applyNumberFormat="1" applyFont="1" applyFill="1" applyBorder="1" applyAlignment="1" applyProtection="1">
      <alignment vertical="top"/>
      <protection hidden="1"/>
    </xf>
    <xf numFmtId="0" fontId="29" fillId="39" borderId="28" xfId="0" applyFont="1" applyFill="1" applyBorder="1" applyAlignment="1" applyProtection="1">
      <alignment horizontal="left" vertical="top"/>
      <protection hidden="1"/>
    </xf>
    <xf numFmtId="0" fontId="29" fillId="39" borderId="32" xfId="0" applyFont="1" applyFill="1" applyBorder="1" applyAlignment="1" applyProtection="1">
      <alignment horizontal="right" vertical="top"/>
      <protection hidden="1"/>
    </xf>
    <xf numFmtId="0" fontId="29" fillId="39" borderId="15" xfId="0" applyFont="1" applyFill="1" applyBorder="1" applyAlignment="1" applyProtection="1">
      <alignment vertical="top" wrapText="1"/>
      <protection hidden="1"/>
    </xf>
    <xf numFmtId="0" fontId="29" fillId="39" borderId="0" xfId="0" applyFont="1" applyFill="1" applyAlignment="1" applyProtection="1">
      <alignment horizontal="center" vertical="top"/>
      <protection hidden="1"/>
    </xf>
    <xf numFmtId="0" fontId="29" fillId="39" borderId="31" xfId="0" applyFont="1" applyFill="1" applyBorder="1" applyAlignment="1" applyProtection="1">
      <alignment horizontal="center" vertical="top"/>
      <protection hidden="1"/>
    </xf>
    <xf numFmtId="10" fontId="29" fillId="42" borderId="0" xfId="43" applyNumberFormat="1" applyFont="1" applyFill="1" applyBorder="1" applyAlignment="1" applyProtection="1">
      <alignment vertical="top"/>
      <protection hidden="1"/>
    </xf>
    <xf numFmtId="2" fontId="29" fillId="42" borderId="0" xfId="0" applyNumberFormat="1" applyFont="1" applyFill="1" applyAlignment="1" applyProtection="1">
      <alignment vertical="top"/>
      <protection hidden="1"/>
    </xf>
    <xf numFmtId="0" fontId="29" fillId="39" borderId="0" xfId="0" applyFont="1" applyFill="1" applyAlignment="1" applyProtection="1">
      <alignment vertical="top"/>
      <protection hidden="1"/>
    </xf>
    <xf numFmtId="10" fontId="29" fillId="39" borderId="0" xfId="43" applyNumberFormat="1" applyFont="1" applyFill="1" applyBorder="1" applyAlignment="1" applyProtection="1">
      <alignment vertical="top"/>
      <protection hidden="1"/>
    </xf>
    <xf numFmtId="2" fontId="29" fillId="39" borderId="0" xfId="0" applyNumberFormat="1" applyFont="1" applyFill="1" applyAlignment="1" applyProtection="1">
      <alignment vertical="top"/>
      <protection hidden="1"/>
    </xf>
    <xf numFmtId="0" fontId="29" fillId="39" borderId="16" xfId="0" applyFont="1" applyFill="1" applyBorder="1" applyAlignment="1" applyProtection="1">
      <alignment vertical="top" wrapText="1"/>
      <protection hidden="1"/>
    </xf>
    <xf numFmtId="0" fontId="29" fillId="42" borderId="17" xfId="0" applyFont="1" applyFill="1" applyBorder="1" applyAlignment="1" applyProtection="1">
      <alignment vertical="top"/>
      <protection hidden="1"/>
    </xf>
    <xf numFmtId="0" fontId="29" fillId="42" borderId="28" xfId="0" applyFont="1" applyFill="1" applyBorder="1" applyAlignment="1" applyProtection="1">
      <alignment vertical="top"/>
      <protection hidden="1"/>
    </xf>
    <xf numFmtId="0" fontId="29" fillId="39" borderId="11" xfId="0" applyFont="1" applyFill="1" applyBorder="1" applyAlignment="1" applyProtection="1">
      <alignment horizontal="left" vertical="top"/>
      <protection hidden="1"/>
    </xf>
    <xf numFmtId="0" fontId="29" fillId="39" borderId="34" xfId="0" applyFont="1" applyFill="1" applyBorder="1" applyAlignment="1" applyProtection="1">
      <alignment horizontal="left" vertical="top"/>
      <protection hidden="1"/>
    </xf>
    <xf numFmtId="0" fontId="29" fillId="39" borderId="16" xfId="0" applyFont="1" applyFill="1" applyBorder="1" applyAlignment="1" applyProtection="1">
      <alignment horizontal="center" vertical="top"/>
      <protection hidden="1"/>
    </xf>
    <xf numFmtId="0" fontId="29" fillId="39" borderId="29" xfId="0" applyFont="1" applyFill="1" applyBorder="1" applyAlignment="1" applyProtection="1">
      <alignment vertical="top" wrapText="1"/>
      <protection hidden="1"/>
    </xf>
    <xf numFmtId="0" fontId="29" fillId="39" borderId="30" xfId="0" applyFont="1" applyFill="1" applyBorder="1" applyAlignment="1" applyProtection="1">
      <alignment vertical="top" wrapText="1"/>
      <protection hidden="1"/>
    </xf>
    <xf numFmtId="0" fontId="29" fillId="39" borderId="28" xfId="0" applyFont="1" applyFill="1" applyBorder="1" applyAlignment="1" applyProtection="1">
      <alignment vertical="top"/>
      <protection hidden="1"/>
    </xf>
    <xf numFmtId="0" fontId="0" fillId="42" borderId="0" xfId="0" applyFill="1" applyProtection="1">
      <protection hidden="1"/>
    </xf>
    <xf numFmtId="14" fontId="29" fillId="0" borderId="0" xfId="0" applyNumberFormat="1" applyFont="1" applyAlignment="1" applyProtection="1">
      <alignment horizontal="right" vertical="top"/>
      <protection hidden="1"/>
    </xf>
    <xf numFmtId="9" fontId="29" fillId="0" borderId="0" xfId="43" applyFont="1" applyAlignment="1" applyProtection="1">
      <alignment horizontal="right" vertical="top"/>
      <protection hidden="1"/>
    </xf>
    <xf numFmtId="0" fontId="29" fillId="41" borderId="0" xfId="0" applyFont="1" applyFill="1" applyAlignment="1" applyProtection="1">
      <alignment horizontal="right" vertical="top"/>
      <protection hidden="1"/>
    </xf>
    <xf numFmtId="2" fontId="29" fillId="41" borderId="0" xfId="0" applyNumberFormat="1" applyFont="1" applyFill="1" applyAlignment="1" applyProtection="1">
      <alignment horizontal="left" vertical="top"/>
      <protection hidden="1"/>
    </xf>
    <xf numFmtId="0" fontId="29" fillId="41" borderId="29" xfId="0" applyFont="1" applyFill="1" applyBorder="1" applyAlignment="1">
      <alignment horizontal="center" vertical="top"/>
    </xf>
    <xf numFmtId="0" fontId="32" fillId="41" borderId="62" xfId="0" applyFont="1" applyFill="1" applyBorder="1" applyAlignment="1">
      <alignment horizontal="center" vertical="center" wrapText="1"/>
    </xf>
    <xf numFmtId="0" fontId="29" fillId="41" borderId="0" xfId="0" applyFont="1" applyFill="1" applyAlignment="1">
      <alignment horizontal="center" vertical="top"/>
    </xf>
    <xf numFmtId="0" fontId="35" fillId="0" borderId="63" xfId="0" applyFont="1" applyBorder="1" applyAlignment="1" applyProtection="1">
      <alignment horizontal="center" vertical="center" wrapText="1"/>
      <protection locked="0"/>
    </xf>
    <xf numFmtId="0" fontId="35" fillId="0" borderId="64" xfId="0" applyFont="1" applyBorder="1" applyAlignment="1" applyProtection="1">
      <alignment horizontal="center" vertical="center" wrapText="1"/>
      <protection locked="0"/>
    </xf>
    <xf numFmtId="0" fontId="25" fillId="0" borderId="20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27" xfId="0" applyBorder="1" applyAlignment="1">
      <alignment horizontal="left" vertical="top" wrapText="1"/>
    </xf>
    <xf numFmtId="0" fontId="0" fillId="0" borderId="0" xfId="0" applyAlignment="1">
      <alignment vertical="center"/>
    </xf>
    <xf numFmtId="0" fontId="26" fillId="47" borderId="20" xfId="0" applyFont="1" applyFill="1" applyBorder="1" applyAlignment="1">
      <alignment horizontal="left" vertical="top" wrapText="1" indent="2"/>
    </xf>
    <xf numFmtId="0" fontId="26" fillId="47" borderId="19" xfId="0" applyFont="1" applyFill="1" applyBorder="1" applyAlignment="1">
      <alignment horizontal="left" vertical="top" wrapText="1" indent="2"/>
    </xf>
    <xf numFmtId="0" fontId="23" fillId="0" borderId="20" xfId="0" applyFont="1" applyBorder="1" applyAlignment="1">
      <alignment horizontal="left" vertical="top" wrapText="1" indent="1"/>
    </xf>
    <xf numFmtId="0" fontId="29" fillId="35" borderId="10" xfId="0" applyFont="1" applyFill="1" applyBorder="1" applyAlignment="1" applyProtection="1">
      <alignment horizontal="center" vertical="center"/>
      <protection hidden="1"/>
    </xf>
    <xf numFmtId="0" fontId="29" fillId="39" borderId="29" xfId="0" applyFont="1" applyFill="1" applyBorder="1" applyAlignment="1" applyProtection="1">
      <alignment horizontal="center" vertical="top" wrapText="1"/>
      <protection hidden="1"/>
    </xf>
    <xf numFmtId="0" fontId="29" fillId="39" borderId="0" xfId="0" applyFont="1" applyFill="1" applyAlignment="1" applyProtection="1">
      <alignment horizontal="center" vertical="top" wrapText="1"/>
      <protection hidden="1"/>
    </xf>
    <xf numFmtId="14" fontId="0" fillId="47" borderId="0" xfId="0" applyNumberFormat="1" applyFill="1" applyAlignment="1">
      <alignment horizontal="center" vertical="top"/>
    </xf>
    <xf numFmtId="14" fontId="14" fillId="47" borderId="0" xfId="0" applyNumberFormat="1" applyFont="1" applyFill="1"/>
    <xf numFmtId="2" fontId="0" fillId="0" borderId="24" xfId="0" applyNumberFormat="1" applyBorder="1" applyAlignment="1" applyProtection="1">
      <alignment vertical="center"/>
      <protection hidden="1"/>
    </xf>
    <xf numFmtId="2" fontId="0" fillId="0" borderId="27" xfId="0" applyNumberFormat="1" applyBorder="1" applyAlignment="1" applyProtection="1">
      <alignment vertical="center"/>
      <protection hidden="1"/>
    </xf>
    <xf numFmtId="2" fontId="0" fillId="0" borderId="27" xfId="0" applyNumberFormat="1" applyBorder="1" applyProtection="1">
      <protection hidden="1"/>
    </xf>
    <xf numFmtId="0" fontId="41" fillId="35" borderId="11" xfId="0" applyFont="1" applyFill="1" applyBorder="1" applyAlignment="1">
      <alignment horizontal="center" vertical="center"/>
    </xf>
    <xf numFmtId="0" fontId="41" fillId="35" borderId="33" xfId="0" applyFont="1" applyFill="1" applyBorder="1" applyAlignment="1">
      <alignment horizontal="center" vertical="center"/>
    </xf>
    <xf numFmtId="0" fontId="42" fillId="53" borderId="11" xfId="0" applyFont="1" applyFill="1" applyBorder="1" applyAlignment="1">
      <alignment horizontal="center" vertical="center"/>
    </xf>
    <xf numFmtId="0" fontId="42" fillId="53" borderId="33" xfId="0" applyFont="1" applyFill="1" applyBorder="1" applyAlignment="1">
      <alignment horizontal="center" vertical="center"/>
    </xf>
    <xf numFmtId="0" fontId="42" fillId="53" borderId="34" xfId="0" applyFont="1" applyFill="1" applyBorder="1" applyAlignment="1">
      <alignment horizontal="center" vertical="center"/>
    </xf>
    <xf numFmtId="0" fontId="47" fillId="35" borderId="15" xfId="0" applyFont="1" applyFill="1" applyBorder="1" applyAlignment="1" applyProtection="1">
      <alignment horizontal="center" vertical="center" wrapText="1"/>
      <protection locked="0"/>
    </xf>
    <xf numFmtId="0" fontId="47" fillId="35" borderId="16" xfId="0" applyFont="1" applyFill="1" applyBorder="1" applyAlignment="1" applyProtection="1">
      <alignment horizontal="center" vertical="center" wrapText="1"/>
      <protection locked="0"/>
    </xf>
    <xf numFmtId="10" fontId="29" fillId="0" borderId="0" xfId="43" applyNumberFormat="1" applyFont="1" applyAlignment="1" applyProtection="1">
      <alignment horizontal="center" vertical="top"/>
      <protection hidden="1"/>
    </xf>
    <xf numFmtId="0" fontId="29" fillId="35" borderId="15" xfId="0" applyFont="1" applyFill="1" applyBorder="1" applyAlignment="1">
      <alignment horizontal="center" vertical="center" wrapText="1"/>
    </xf>
    <xf numFmtId="0" fontId="29" fillId="35" borderId="30" xfId="0" applyFont="1" applyFill="1" applyBorder="1" applyAlignment="1">
      <alignment horizontal="center" vertical="center" wrapText="1"/>
    </xf>
    <xf numFmtId="0" fontId="29" fillId="35" borderId="16" xfId="0" applyFont="1" applyFill="1" applyBorder="1" applyAlignment="1">
      <alignment horizontal="center" vertical="center" wrapText="1"/>
    </xf>
    <xf numFmtId="0" fontId="29" fillId="35" borderId="31" xfId="0" applyFont="1" applyFill="1" applyBorder="1" applyAlignment="1">
      <alignment horizontal="center" vertical="center" wrapText="1"/>
    </xf>
    <xf numFmtId="0" fontId="32" fillId="41" borderId="45" xfId="0" applyFont="1" applyFill="1" applyBorder="1" applyAlignment="1" applyProtection="1">
      <alignment horizontal="center" vertical="center" wrapText="1"/>
      <protection hidden="1"/>
    </xf>
    <xf numFmtId="0" fontId="32" fillId="41" borderId="46" xfId="0" applyFont="1" applyFill="1" applyBorder="1" applyAlignment="1" applyProtection="1">
      <alignment horizontal="center" vertical="center" wrapText="1"/>
      <protection hidden="1"/>
    </xf>
    <xf numFmtId="0" fontId="32" fillId="41" borderId="47" xfId="0" applyFont="1" applyFill="1" applyBorder="1" applyAlignment="1" applyProtection="1">
      <alignment horizontal="center" vertical="center"/>
      <protection hidden="1"/>
    </xf>
    <xf numFmtId="0" fontId="32" fillId="41" borderId="48" xfId="0" applyFont="1" applyFill="1" applyBorder="1" applyAlignment="1" applyProtection="1">
      <alignment horizontal="center" vertical="center"/>
      <protection hidden="1"/>
    </xf>
    <xf numFmtId="0" fontId="29" fillId="42" borderId="15" xfId="0" applyFont="1" applyFill="1" applyBorder="1" applyAlignment="1" applyProtection="1">
      <alignment horizontal="center" vertical="top" wrapText="1"/>
      <protection hidden="1"/>
    </xf>
    <xf numFmtId="0" fontId="29" fillId="42" borderId="16" xfId="0" applyFont="1" applyFill="1" applyBorder="1" applyAlignment="1" applyProtection="1">
      <alignment horizontal="center" vertical="top" wrapText="1"/>
      <protection hidden="1"/>
    </xf>
    <xf numFmtId="0" fontId="29" fillId="42" borderId="29" xfId="0" applyFont="1" applyFill="1" applyBorder="1" applyAlignment="1" applyProtection="1">
      <alignment horizontal="center" vertical="top" wrapText="1"/>
      <protection hidden="1"/>
    </xf>
    <xf numFmtId="0" fontId="29" fillId="42" borderId="0" xfId="0" applyFont="1" applyFill="1" applyAlignment="1" applyProtection="1">
      <alignment horizontal="center" vertical="top" wrapText="1"/>
      <protection hidden="1"/>
    </xf>
    <xf numFmtId="0" fontId="29" fillId="35" borderId="10" xfId="0" applyFont="1" applyFill="1" applyBorder="1" applyAlignment="1" applyProtection="1">
      <alignment horizontal="center" vertical="center"/>
      <protection hidden="1"/>
    </xf>
    <xf numFmtId="0" fontId="40" fillId="0" borderId="41" xfId="0" applyFont="1" applyBorder="1" applyAlignment="1" applyProtection="1">
      <alignment horizontal="center" vertical="center"/>
      <protection hidden="1"/>
    </xf>
    <xf numFmtId="0" fontId="40" fillId="0" borderId="42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34" xfId="0" applyBorder="1" applyAlignment="1" applyProtection="1">
      <alignment horizontal="center" vertical="center" wrapText="1"/>
      <protection hidden="1"/>
    </xf>
    <xf numFmtId="0" fontId="29" fillId="39" borderId="11" xfId="0" applyFont="1" applyFill="1" applyBorder="1" applyAlignment="1" applyProtection="1">
      <alignment horizontal="center" vertical="top"/>
      <protection hidden="1"/>
    </xf>
    <xf numFmtId="0" fontId="29" fillId="39" borderId="33" xfId="0" applyFont="1" applyFill="1" applyBorder="1" applyAlignment="1" applyProtection="1">
      <alignment horizontal="center" vertical="top"/>
      <protection hidden="1"/>
    </xf>
    <xf numFmtId="0" fontId="29" fillId="39" borderId="34" xfId="0" applyFont="1" applyFill="1" applyBorder="1" applyAlignment="1" applyProtection="1">
      <alignment horizontal="center" vertical="top"/>
      <protection hidden="1"/>
    </xf>
    <xf numFmtId="0" fontId="29" fillId="39" borderId="29" xfId="0" applyFont="1" applyFill="1" applyBorder="1" applyAlignment="1" applyProtection="1">
      <alignment horizontal="center" vertical="top" wrapText="1"/>
      <protection hidden="1"/>
    </xf>
    <xf numFmtId="0" fontId="29" fillId="39" borderId="0" xfId="0" applyFont="1" applyFill="1" applyAlignment="1" applyProtection="1">
      <alignment horizontal="center" vertical="top" wrapText="1"/>
      <protection hidden="1"/>
    </xf>
    <xf numFmtId="0" fontId="29" fillId="42" borderId="30" xfId="0" applyFont="1" applyFill="1" applyBorder="1" applyAlignment="1" applyProtection="1">
      <alignment horizontal="center" vertical="top" wrapText="1"/>
      <protection hidden="1"/>
    </xf>
    <xf numFmtId="0" fontId="29" fillId="42" borderId="31" xfId="0" applyFont="1" applyFill="1" applyBorder="1" applyAlignment="1" applyProtection="1">
      <alignment horizontal="center" vertical="top" wrapText="1"/>
      <protection hidden="1"/>
    </xf>
    <xf numFmtId="0" fontId="29" fillId="39" borderId="30" xfId="0" applyFont="1" applyFill="1" applyBorder="1" applyAlignment="1" applyProtection="1">
      <alignment horizontal="center" vertical="top" wrapText="1"/>
      <protection hidden="1"/>
    </xf>
    <xf numFmtId="0" fontId="29" fillId="39" borderId="31" xfId="0" applyFont="1" applyFill="1" applyBorder="1" applyAlignment="1" applyProtection="1">
      <alignment horizontal="center" vertical="top" wrapText="1"/>
      <protection hidden="1"/>
    </xf>
    <xf numFmtId="0" fontId="29" fillId="39" borderId="15" xfId="0" applyFont="1" applyFill="1" applyBorder="1" applyAlignment="1" applyProtection="1">
      <alignment horizontal="center" vertical="top" wrapText="1"/>
      <protection hidden="1"/>
    </xf>
    <xf numFmtId="0" fontId="29" fillId="39" borderId="16" xfId="0" applyFont="1" applyFill="1" applyBorder="1" applyAlignment="1" applyProtection="1">
      <alignment horizontal="center" vertical="top" wrapText="1"/>
      <protection hidden="1"/>
    </xf>
    <xf numFmtId="0" fontId="29" fillId="39" borderId="11" xfId="0" applyFont="1" applyFill="1" applyBorder="1" applyAlignment="1" applyProtection="1">
      <alignment horizontal="center" vertical="center"/>
      <protection hidden="1"/>
    </xf>
    <xf numFmtId="0" fontId="29" fillId="39" borderId="33" xfId="0" applyFont="1" applyFill="1" applyBorder="1" applyAlignment="1" applyProtection="1">
      <alignment horizontal="center" vertical="center"/>
      <protection hidden="1"/>
    </xf>
    <xf numFmtId="0" fontId="29" fillId="39" borderId="34" xfId="0" applyFont="1" applyFill="1" applyBorder="1" applyAlignment="1" applyProtection="1">
      <alignment horizontal="center" vertical="center"/>
      <protection hidden="1"/>
    </xf>
    <xf numFmtId="0" fontId="39" fillId="41" borderId="11" xfId="0" applyFont="1" applyFill="1" applyBorder="1" applyAlignment="1" applyProtection="1">
      <alignment horizontal="center" vertical="center"/>
      <protection hidden="1"/>
    </xf>
    <xf numFmtId="0" fontId="39" fillId="41" borderId="34" xfId="0" applyFont="1" applyFill="1" applyBorder="1" applyAlignment="1" applyProtection="1">
      <alignment horizontal="center" vertical="center"/>
      <protection hidden="1"/>
    </xf>
    <xf numFmtId="0" fontId="29" fillId="39" borderId="16" xfId="0" applyFont="1" applyFill="1" applyBorder="1" applyAlignment="1" applyProtection="1">
      <alignment horizontal="center" vertical="center" wrapText="1"/>
      <protection hidden="1"/>
    </xf>
    <xf numFmtId="0" fontId="29" fillId="39" borderId="0" xfId="0" applyFont="1" applyFill="1" applyAlignment="1" applyProtection="1">
      <alignment horizontal="center" vertical="center" wrapText="1"/>
      <protection hidden="1"/>
    </xf>
    <xf numFmtId="0" fontId="29" fillId="39" borderId="31" xfId="0" applyFont="1" applyFill="1" applyBorder="1" applyAlignment="1" applyProtection="1">
      <alignment horizontal="center" vertical="center" wrapText="1"/>
      <protection hidden="1"/>
    </xf>
    <xf numFmtId="0" fontId="29" fillId="42" borderId="11" xfId="0" applyFont="1" applyFill="1" applyBorder="1" applyAlignment="1" applyProtection="1">
      <alignment horizontal="center" vertical="top" wrapText="1"/>
      <protection hidden="1"/>
    </xf>
    <xf numFmtId="0" fontId="29" fillId="42" borderId="33" xfId="0" applyFont="1" applyFill="1" applyBorder="1" applyAlignment="1" applyProtection="1">
      <alignment horizontal="center" vertical="top"/>
      <protection hidden="1"/>
    </xf>
    <xf numFmtId="0" fontId="29" fillId="42" borderId="34" xfId="0" applyFont="1" applyFill="1" applyBorder="1" applyAlignment="1" applyProtection="1">
      <alignment horizontal="center" vertical="top"/>
      <protection hidden="1"/>
    </xf>
    <xf numFmtId="0" fontId="29" fillId="42" borderId="11" xfId="0" applyFont="1" applyFill="1" applyBorder="1" applyAlignment="1" applyProtection="1">
      <alignment horizontal="center" vertical="top"/>
      <protection hidden="1"/>
    </xf>
    <xf numFmtId="0" fontId="43" fillId="41" borderId="11" xfId="0" applyFont="1" applyFill="1" applyBorder="1" applyAlignment="1">
      <alignment horizontal="center" vertical="center"/>
    </xf>
    <xf numFmtId="0" fontId="43" fillId="41" borderId="33" xfId="0" applyFont="1" applyFill="1" applyBorder="1" applyAlignment="1">
      <alignment horizontal="center" vertical="center"/>
    </xf>
    <xf numFmtId="0" fontId="29" fillId="52" borderId="11" xfId="0" applyFont="1" applyFill="1" applyBorder="1" applyAlignment="1">
      <alignment horizontal="center" vertical="center"/>
    </xf>
    <xf numFmtId="0" fontId="29" fillId="52" borderId="33" xfId="0" applyFont="1" applyFill="1" applyBorder="1" applyAlignment="1">
      <alignment horizontal="center" vertical="center"/>
    </xf>
    <xf numFmtId="0" fontId="29" fillId="52" borderId="34" xfId="0" applyFont="1" applyFill="1" applyBorder="1" applyAlignment="1">
      <alignment horizontal="center" vertical="center"/>
    </xf>
    <xf numFmtId="0" fontId="40" fillId="52" borderId="11" xfId="0" applyFont="1" applyFill="1" applyBorder="1" applyAlignment="1">
      <alignment horizontal="center" vertical="center"/>
    </xf>
    <xf numFmtId="0" fontId="40" fillId="52" borderId="33" xfId="0" applyFont="1" applyFill="1" applyBorder="1" applyAlignment="1">
      <alignment horizontal="center" vertical="center"/>
    </xf>
    <xf numFmtId="0" fontId="40" fillId="52" borderId="34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/>
    </xf>
    <xf numFmtId="0" fontId="44" fillId="35" borderId="33" xfId="0" applyFont="1" applyFill="1" applyBorder="1" applyAlignment="1">
      <alignment horizontal="center" vertical="center"/>
    </xf>
    <xf numFmtId="0" fontId="44" fillId="35" borderId="34" xfId="0" applyFont="1" applyFill="1" applyBorder="1" applyAlignment="1">
      <alignment horizontal="center" vertical="center"/>
    </xf>
    <xf numFmtId="0" fontId="32" fillId="41" borderId="15" xfId="0" applyFont="1" applyFill="1" applyBorder="1" applyAlignment="1">
      <alignment horizontal="center" vertical="center" wrapText="1"/>
    </xf>
    <xf numFmtId="0" fontId="32" fillId="41" borderId="61" xfId="0" applyFont="1" applyFill="1" applyBorder="1" applyAlignment="1">
      <alignment horizontal="center" vertical="center" wrapText="1"/>
    </xf>
    <xf numFmtId="0" fontId="35" fillId="0" borderId="59" xfId="0" applyFont="1" applyBorder="1" applyAlignment="1" applyProtection="1">
      <alignment horizontal="center" vertical="center" wrapText="1"/>
      <protection locked="0"/>
    </xf>
    <xf numFmtId="0" fontId="35" fillId="0" borderId="6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0" fillId="33" borderId="0" xfId="0" applyFill="1" applyAlignment="1">
      <alignment horizontal="center"/>
    </xf>
    <xf numFmtId="0" fontId="25" fillId="0" borderId="20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7" xfId="0" applyBorder="1" applyAlignment="1">
      <alignment horizontal="left" vertical="top" wrapText="1"/>
    </xf>
    <xf numFmtId="0" fontId="46" fillId="43" borderId="49" xfId="0" applyFont="1" applyFill="1" applyBorder="1" applyAlignment="1">
      <alignment horizontal="center" vertical="center"/>
    </xf>
    <xf numFmtId="0" fontId="46" fillId="43" borderId="0" xfId="0" applyFont="1" applyFill="1" applyAlignment="1">
      <alignment horizontal="center" vertical="center"/>
    </xf>
    <xf numFmtId="0" fontId="46" fillId="43" borderId="50" xfId="0" applyFont="1" applyFill="1" applyBorder="1" applyAlignment="1">
      <alignment horizontal="center" vertical="center"/>
    </xf>
    <xf numFmtId="2" fontId="17" fillId="41" borderId="0" xfId="0" applyNumberFormat="1" applyFont="1" applyFill="1" applyAlignment="1">
      <alignment horizontal="center"/>
    </xf>
    <xf numFmtId="2" fontId="17" fillId="41" borderId="55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54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0" fillId="47" borderId="0" xfId="0" applyFill="1" applyAlignment="1">
      <alignment horizontal="center"/>
    </xf>
    <xf numFmtId="0" fontId="0" fillId="47" borderId="50" xfId="0" applyFill="1" applyBorder="1" applyAlignment="1">
      <alignment horizontal="center"/>
    </xf>
    <xf numFmtId="2" fontId="17" fillId="41" borderId="50" xfId="0" applyNumberFormat="1" applyFont="1" applyFill="1" applyBorder="1" applyAlignment="1">
      <alignment horizontal="center"/>
    </xf>
    <xf numFmtId="0" fontId="22" fillId="0" borderId="18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erekening" xfId="12" builtinId="22" customBuiltin="1"/>
    <cellStyle name="Controlecel" xfId="14" builtinId="23" customBuiltin="1"/>
    <cellStyle name="Gekoppelde cel" xfId="13" builtinId="24" customBuiltin="1"/>
    <cellStyle name="Goed" xfId="7" builtinId="26" customBuiltin="1"/>
    <cellStyle name="Hyperlink" xfId="44" builtinId="8"/>
    <cellStyle name="Invoer" xfId="10" builtinId="20" customBuiltin="1"/>
    <cellStyle name="Komma" xfId="1" builtinId="3"/>
    <cellStyle name="Kop 1" xfId="3" builtinId="16" customBuiltin="1"/>
    <cellStyle name="Kop 2" xfId="4" builtinId="17" customBuiltin="1"/>
    <cellStyle name="Kop 3" xfId="5" builtinId="18" customBuiltin="1"/>
    <cellStyle name="Kop 4" xfId="6" builtinId="19" customBuiltin="1"/>
    <cellStyle name="Neutraal" xfId="9" builtinId="28" customBuiltin="1"/>
    <cellStyle name="Notitie" xfId="16" builtinId="10" customBuiltin="1"/>
    <cellStyle name="Ongeldig" xfId="8" builtinId="27" customBuiltin="1"/>
    <cellStyle name="Procent" xfId="43" builtinId="5"/>
    <cellStyle name="Standaard" xfId="0" builtinId="0"/>
    <cellStyle name="Titel" xfId="2" builtinId="15" customBuiltin="1"/>
    <cellStyle name="Totaal" xfId="18" builtinId="25" customBuiltin="1"/>
    <cellStyle name="Uitvoer" xfId="11" builtinId="21" customBuiltin="1"/>
    <cellStyle name="Verklarende tekst" xfId="17" builtinId="53" customBuiltin="1"/>
    <cellStyle name="Waarschuwingstekst" xfId="15" builtinId="11" customBuiltin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gradientFill>
          <stop position="0">
            <color theme="0"/>
          </stop>
          <stop position="1">
            <color rgb="FFFFFF00"/>
          </stop>
        </gradientFill>
      </fill>
    </dxf>
    <dxf>
      <font>
        <color rgb="FF006100"/>
      </font>
      <fill>
        <gradientFill>
          <stop position="0">
            <color theme="0"/>
          </stop>
          <stop position="1">
            <color rgb="FFFFFF0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gradientFill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Light16"/>
  <colors>
    <mruColors>
      <color rgb="FFFF6565"/>
      <color rgb="FFFFFFCC"/>
      <color rgb="FFFFFF99"/>
      <color rgb="FFEEEE32"/>
      <color rgb="FFD3D34D"/>
      <color rgb="FFF0DAEC"/>
      <color rgb="FF53CCC9"/>
      <color rgb="FF5F6BC1"/>
      <color rgb="FFE9E975"/>
      <color rgb="FFFF9B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182880</xdr:colOff>
      <xdr:row>37</xdr:row>
      <xdr:rowOff>76200</xdr:rowOff>
    </xdr:from>
    <xdr:to>
      <xdr:col>50</xdr:col>
      <xdr:colOff>1737360</xdr:colOff>
      <xdr:row>45</xdr:row>
      <xdr:rowOff>335280</xdr:rowOff>
    </xdr:to>
    <xdr:sp macro="" textlink="">
      <xdr:nvSpPr>
        <xdr:cNvPr id="2" name="Pijl: omlaag 1">
          <a:extLst>
            <a:ext uri="{FF2B5EF4-FFF2-40B4-BE49-F238E27FC236}">
              <a16:creationId xmlns:a16="http://schemas.microsoft.com/office/drawing/2014/main" id="{039DB856-341A-4EAB-8D21-D3A55812E5E2}"/>
            </a:ext>
          </a:extLst>
        </xdr:cNvPr>
        <xdr:cNvSpPr/>
      </xdr:nvSpPr>
      <xdr:spPr>
        <a:xfrm>
          <a:off x="58201560" y="7368540"/>
          <a:ext cx="1554480" cy="18669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BE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hier verder doen</a:t>
          </a:r>
          <a:r>
            <a:rPr lang="nl-BE"/>
            <a:t> </a:t>
          </a:r>
          <a:endParaRPr lang="nl-BE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elgiantrain.be/nl/tickets-and-railcards/key-card?gclid=EAIaIQobChMIxfC1kfLh9QIVze3mCh25CQJSEAAYASAAEgJk-_D_BwE" TargetMode="External"/><Relationship Id="rId1" Type="http://schemas.openxmlformats.org/officeDocument/2006/relationships/hyperlink" Target="http://www.belgianrail.be/nl/biljetten-abonnementen/zoek-biljetten-abonnementen.aspx?fromstationid=1006&amp;fromstationname=ANTWERPEN-CENTRAAL&amp;tostationid=3003&amp;tostationname=BRUSSEL-CENTRAAL&amp;viastationid=&amp;viastationname=&amp;date=25/07/2018&amp;itineraryid=2&amp;travelclassid=1&amp;reductionid=00&amp;travelertypeid=06&amp;frequencyid=0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C3348-9725-458F-8E6D-BFF9D9D83866}">
  <sheetPr codeName="Blad1"/>
  <dimension ref="B1:DF160"/>
  <sheetViews>
    <sheetView showGridLines="0" tabSelected="1" zoomScaleNormal="100" workbookViewId="0">
      <pane ySplit="10" topLeftCell="A11" activePane="bottomLeft" state="frozen"/>
      <selection activeCell="K1" sqref="K1"/>
      <selection pane="bottomLeft" activeCell="E49" sqref="E49"/>
    </sheetView>
  </sheetViews>
  <sheetFormatPr defaultColWidth="8.85546875" defaultRowHeight="15"/>
  <cols>
    <col min="1" max="1" width="1.7109375" style="61" customWidth="1"/>
    <col min="2" max="2" width="11" style="65" customWidth="1"/>
    <col min="3" max="3" width="12.5703125" style="65" customWidth="1"/>
    <col min="4" max="4" width="11.5703125" style="65" customWidth="1"/>
    <col min="5" max="5" width="14.28515625" style="65" customWidth="1"/>
    <col min="6" max="6" width="11.5703125" style="65" customWidth="1"/>
    <col min="7" max="8" width="11.5703125" style="64" customWidth="1"/>
    <col min="9" max="10" width="11.5703125" style="62" customWidth="1"/>
    <col min="11" max="11" width="12.28515625" style="62" customWidth="1"/>
    <col min="12" max="12" width="11.5703125" style="62" customWidth="1"/>
    <col min="13" max="13" width="13.7109375" style="62" customWidth="1"/>
    <col min="14" max="14" width="12.7109375" style="64" customWidth="1"/>
    <col min="15" max="15" width="12.28515625" style="172" hidden="1" customWidth="1"/>
    <col min="16" max="16" width="12.7109375" style="173" hidden="1" customWidth="1"/>
    <col min="17" max="17" width="12.42578125" style="174" hidden="1" customWidth="1"/>
    <col min="18" max="18" width="12.7109375" style="250" hidden="1" customWidth="1"/>
    <col min="19" max="19" width="12.7109375" style="251" hidden="1" customWidth="1"/>
    <col min="20" max="20" width="19" style="175" hidden="1" customWidth="1"/>
    <col min="21" max="21" width="14.7109375" style="172" hidden="1" customWidth="1"/>
    <col min="22" max="22" width="14.7109375" style="175" hidden="1" customWidth="1"/>
    <col min="23" max="23" width="14.7109375" style="172" hidden="1" customWidth="1"/>
    <col min="24" max="24" width="14.7109375" style="175" hidden="1" customWidth="1"/>
    <col min="25" max="25" width="14.7109375" style="172" hidden="1" customWidth="1"/>
    <col min="26" max="26" width="14.7109375" style="175" hidden="1" customWidth="1"/>
    <col min="27" max="27" width="14.7109375" style="172" hidden="1" customWidth="1"/>
    <col min="28" max="28" width="14.7109375" style="175" hidden="1" customWidth="1"/>
    <col min="29" max="29" width="14.7109375" style="172" hidden="1" customWidth="1"/>
    <col min="30" max="30" width="14.7109375" style="175" hidden="1" customWidth="1"/>
    <col min="31" max="31" width="13.7109375" style="173" hidden="1" customWidth="1"/>
    <col min="32" max="32" width="13.28515625" style="173" hidden="1" customWidth="1"/>
    <col min="33" max="33" width="15.42578125" style="173" hidden="1" customWidth="1"/>
    <col min="34" max="35" width="13.28515625" style="173" hidden="1" customWidth="1"/>
    <col min="36" max="36" width="13.7109375" style="173" hidden="1" customWidth="1"/>
    <col min="37" max="37" width="13.28515625" style="173" hidden="1" customWidth="1"/>
    <col min="38" max="38" width="13.7109375" style="173" hidden="1" customWidth="1"/>
    <col min="39" max="39" width="13.28515625" style="173" hidden="1" customWidth="1"/>
    <col min="40" max="40" width="11.7109375" style="179" hidden="1" customWidth="1"/>
    <col min="41" max="41" width="8.85546875" style="175" hidden="1" customWidth="1"/>
    <col min="42" max="43" width="13.7109375" style="175" hidden="1" customWidth="1"/>
    <col min="44" max="44" width="12.42578125" style="175" hidden="1" customWidth="1"/>
    <col min="45" max="45" width="10" style="175" hidden="1" customWidth="1"/>
    <col min="46" max="46" width="8.85546875" style="175" hidden="1" customWidth="1"/>
    <col min="47" max="48" width="6.28515625" style="175" hidden="1" customWidth="1"/>
    <col min="49" max="49" width="9.7109375" style="175" hidden="1" customWidth="1"/>
    <col min="50" max="51" width="11.28515625" style="175" hidden="1" customWidth="1"/>
    <col min="52" max="53" width="11.28515625" style="181" hidden="1" customWidth="1"/>
    <col min="54" max="54" width="0" style="181" hidden="1" customWidth="1"/>
    <col min="55" max="55" width="9.7109375" style="181" hidden="1" customWidth="1"/>
    <col min="56" max="57" width="0" style="181" hidden="1" customWidth="1"/>
    <col min="58" max="58" width="9.140625" style="181" hidden="1" customWidth="1"/>
    <col min="59" max="60" width="0" style="181" hidden="1" customWidth="1"/>
    <col min="61" max="61" width="10.140625" style="181" hidden="1" customWidth="1"/>
    <col min="62" max="67" width="0" style="181" hidden="1" customWidth="1"/>
    <col min="68" max="76" width="0" style="182" hidden="1" customWidth="1"/>
    <col min="77" max="77" width="10.85546875" style="182" hidden="1" customWidth="1"/>
    <col min="78" max="78" width="12.28515625" style="182" hidden="1" customWidth="1"/>
    <col min="79" max="110" width="0" style="181" hidden="1" customWidth="1"/>
    <col min="111" max="16384" width="8.85546875" style="61"/>
  </cols>
  <sheetData>
    <row r="1" spans="2:110" ht="29.45" customHeight="1">
      <c r="B1" s="325" t="s">
        <v>0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7"/>
      <c r="R1" s="175"/>
      <c r="S1" s="175"/>
      <c r="W1" s="176"/>
      <c r="X1" s="177"/>
      <c r="Y1" s="178"/>
      <c r="AC1" s="176"/>
      <c r="AD1" s="177"/>
      <c r="AO1" s="180"/>
      <c r="AW1" s="175" t="s">
        <v>1</v>
      </c>
      <c r="AX1" s="175">
        <v>52</v>
      </c>
      <c r="BG1" s="181">
        <v>12.9</v>
      </c>
    </row>
    <row r="2" spans="2:110" customFormat="1" ht="6.6" customHeight="1"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1"/>
      <c r="O2" s="172"/>
      <c r="P2" s="173"/>
      <c r="Q2" s="174"/>
      <c r="R2" s="175"/>
      <c r="S2" s="175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</row>
    <row r="3" spans="2:110" customFormat="1" ht="42" customHeight="1">
      <c r="B3" s="320" t="s">
        <v>2</v>
      </c>
      <c r="C3" s="321"/>
      <c r="D3" s="321"/>
      <c r="E3" s="321"/>
      <c r="F3" s="321"/>
      <c r="G3" s="321"/>
      <c r="H3" s="321"/>
      <c r="I3" s="321"/>
      <c r="J3" s="328" t="s">
        <v>3</v>
      </c>
      <c r="K3" s="329"/>
      <c r="L3" s="329"/>
      <c r="M3" s="329"/>
      <c r="N3" s="330"/>
      <c r="O3" s="172"/>
      <c r="P3" s="173"/>
      <c r="Q3" s="174"/>
      <c r="R3" s="175"/>
      <c r="S3" s="175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</row>
    <row r="4" spans="2:110" ht="39" customHeight="1" thickBot="1">
      <c r="B4" s="331" t="s">
        <v>4</v>
      </c>
      <c r="C4" s="332"/>
      <c r="D4" s="252"/>
      <c r="E4" s="253" t="s">
        <v>5</v>
      </c>
      <c r="F4" s="252"/>
      <c r="G4" s="253" t="s">
        <v>6</v>
      </c>
      <c r="H4" s="252"/>
      <c r="I4" s="253" t="s">
        <v>7</v>
      </c>
      <c r="J4" s="277"/>
      <c r="K4" s="277" t="s">
        <v>8</v>
      </c>
      <c r="L4" s="277" t="s">
        <v>9</v>
      </c>
      <c r="M4" s="280" t="s">
        <v>10</v>
      </c>
      <c r="N4" s="281"/>
      <c r="R4" s="175"/>
      <c r="S4" s="175"/>
      <c r="T4" s="284" t="s">
        <v>11</v>
      </c>
      <c r="U4" s="285"/>
      <c r="V4" s="183"/>
      <c r="W4" s="176"/>
      <c r="X4" s="177"/>
      <c r="Y4" s="178"/>
      <c r="AC4" s="176"/>
      <c r="AD4" s="177"/>
      <c r="AO4" s="180"/>
    </row>
    <row r="5" spans="2:110" customFormat="1" ht="18.600000000000001" customHeight="1" thickTop="1" thickBot="1">
      <c r="B5" s="333">
        <v>2.4</v>
      </c>
      <c r="C5" s="334"/>
      <c r="D5" s="254"/>
      <c r="E5" s="255">
        <v>45</v>
      </c>
      <c r="F5" s="254"/>
      <c r="G5" s="255">
        <v>61</v>
      </c>
      <c r="H5" s="254"/>
      <c r="I5" s="256" t="s">
        <v>12</v>
      </c>
      <c r="J5" s="278"/>
      <c r="K5" s="278"/>
      <c r="L5" s="278"/>
      <c r="M5" s="282"/>
      <c r="N5" s="283"/>
      <c r="O5" s="172"/>
      <c r="P5" s="173"/>
      <c r="Q5" s="174"/>
      <c r="R5" s="175"/>
      <c r="S5" s="175"/>
      <c r="T5" s="286">
        <v>100</v>
      </c>
      <c r="U5" s="287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</row>
    <row r="6" spans="2:110" customFormat="1" ht="7.9" customHeight="1" thickTop="1" thickBot="1">
      <c r="B6" s="169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1"/>
      <c r="O6" s="172"/>
      <c r="P6" s="173"/>
      <c r="Q6" s="174"/>
      <c r="R6" s="175"/>
      <c r="S6" s="175"/>
      <c r="T6" s="293" t="s">
        <v>13</v>
      </c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173"/>
      <c r="AJ6" s="293" t="s">
        <v>14</v>
      </c>
      <c r="AK6" s="294"/>
      <c r="AL6" s="294"/>
      <c r="AM6" s="294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>
        <v>18.600000000000001</v>
      </c>
      <c r="BA6" s="173">
        <f>AZ6*AW15</f>
        <v>319.30000000000007</v>
      </c>
      <c r="BB6" s="173"/>
      <c r="BC6" s="173"/>
      <c r="BD6" s="173"/>
      <c r="BE6" s="181">
        <f>2.3*45</f>
        <v>103.49999999999999</v>
      </c>
      <c r="BF6" s="181"/>
      <c r="BG6" s="181"/>
      <c r="BH6" s="181"/>
      <c r="BI6" s="181"/>
      <c r="BJ6" s="181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</row>
    <row r="7" spans="2:110" s="81" customFormat="1" ht="15.6" customHeight="1">
      <c r="B7" s="322" t="str">
        <f>"De "&amp;N10&amp;" is niet opgenomen in de vergelijking van de goedkoopste formule, wegens de afhankelijkheid van de zones. Volg de koppeling hierboven om de zones te zien"</f>
        <v>De Local Multi
 is niet opgenomen in de vergelijking van de goedkoopste formule, wegens de afhankelijkheid van de zones. Volg de koppeling hierboven om de zones te zien</v>
      </c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4"/>
      <c r="O7" s="172"/>
      <c r="P7" s="173"/>
      <c r="Q7" s="174"/>
      <c r="R7" s="175"/>
      <c r="S7" s="175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73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</row>
    <row r="8" spans="2:110" customFormat="1" ht="6.6" customHeight="1">
      <c r="B8" s="169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1"/>
      <c r="O8" s="172"/>
      <c r="P8" s="173"/>
      <c r="Q8" s="174"/>
      <c r="R8" s="175"/>
      <c r="S8" s="175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</row>
    <row r="9" spans="2:110" s="73" customFormat="1" ht="28.9" customHeight="1" thickBot="1">
      <c r="B9" s="112"/>
      <c r="C9" s="113"/>
      <c r="D9" s="272" t="s">
        <v>15</v>
      </c>
      <c r="E9" s="273"/>
      <c r="F9" s="273"/>
      <c r="G9" s="273"/>
      <c r="H9" s="273"/>
      <c r="I9" s="273"/>
      <c r="J9" s="273"/>
      <c r="K9" s="274" t="s">
        <v>16</v>
      </c>
      <c r="L9" s="275"/>
      <c r="M9" s="275"/>
      <c r="N9" s="276"/>
      <c r="O9" s="172"/>
      <c r="P9" s="173"/>
      <c r="Q9" s="174"/>
      <c r="R9" s="264" t="s">
        <v>15</v>
      </c>
      <c r="S9" s="264"/>
      <c r="T9" s="264" t="s">
        <v>15</v>
      </c>
      <c r="U9" s="264"/>
      <c r="V9" s="264" t="s">
        <v>15</v>
      </c>
      <c r="W9" s="264"/>
      <c r="X9" s="264" t="s">
        <v>15</v>
      </c>
      <c r="Y9" s="264"/>
      <c r="Z9" s="264" t="s">
        <v>15</v>
      </c>
      <c r="AA9" s="264"/>
      <c r="AB9" s="264" t="s">
        <v>15</v>
      </c>
      <c r="AC9" s="264"/>
      <c r="AD9" s="264" t="s">
        <v>15</v>
      </c>
      <c r="AE9" s="292" t="s">
        <v>15</v>
      </c>
      <c r="AF9" s="292"/>
      <c r="AG9" s="292" t="s">
        <v>15</v>
      </c>
      <c r="AH9" s="292"/>
      <c r="AI9" s="173"/>
      <c r="AJ9" s="311" t="s">
        <v>16</v>
      </c>
      <c r="AK9" s="312"/>
      <c r="AL9" s="311" t="s">
        <v>16</v>
      </c>
      <c r="AM9" s="312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6"/>
      <c r="AZ9" s="185"/>
      <c r="BA9" s="185"/>
      <c r="BB9" s="185"/>
      <c r="BC9" s="185"/>
      <c r="BD9" s="185"/>
      <c r="BE9" s="173"/>
      <c r="BF9" s="173"/>
      <c r="BG9" s="173"/>
      <c r="BH9" s="173"/>
      <c r="BI9" s="173"/>
      <c r="BJ9" s="173"/>
      <c r="BK9" s="185"/>
      <c r="BL9" s="185"/>
      <c r="BM9" s="185"/>
      <c r="BN9" s="185"/>
      <c r="BO9" s="185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5"/>
      <c r="CB9" s="185"/>
      <c r="CC9" s="185"/>
      <c r="CD9" s="185"/>
      <c r="CE9" s="185"/>
      <c r="CF9" s="185"/>
      <c r="CG9" s="188"/>
      <c r="CH9" s="188"/>
      <c r="CI9" s="188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</row>
    <row r="10" spans="2:110" ht="55.15" customHeight="1" thickBot="1">
      <c r="B10" s="109" t="s">
        <v>17</v>
      </c>
      <c r="C10" s="108" t="s">
        <v>18</v>
      </c>
      <c r="D10" s="108" t="s">
        <v>19</v>
      </c>
      <c r="E10" s="108" t="s">
        <v>20</v>
      </c>
      <c r="F10" s="108" t="s">
        <v>21</v>
      </c>
      <c r="G10" s="105" t="s">
        <v>22</v>
      </c>
      <c r="H10" s="105" t="s">
        <v>23</v>
      </c>
      <c r="I10" s="105" t="s">
        <v>24</v>
      </c>
      <c r="J10" s="105" t="s">
        <v>25</v>
      </c>
      <c r="K10" s="107" t="s">
        <v>26</v>
      </c>
      <c r="L10" s="106" t="str">
        <f>"Youth Multi
€ "&amp;BC46&amp;" per Pass goedkoper via de app NMBS"</f>
        <v>Youth Multi
€ 2 per Pass goedkoper via de app NMBS</v>
      </c>
      <c r="M10" s="106" t="str">
        <f>"Standard Multi
€ "&amp;BB30&amp;" per Pass goedkoper via de app NMBS"</f>
        <v>Standard Multi
€ 3 per Pass goedkoper via de app NMBS</v>
      </c>
      <c r="N10" s="106" t="s">
        <v>27</v>
      </c>
      <c r="O10" s="174"/>
      <c r="P10" s="295" t="s">
        <v>28</v>
      </c>
      <c r="Q10" s="296"/>
      <c r="R10" s="189" t="s">
        <v>29</v>
      </c>
      <c r="S10" s="190" t="s">
        <v>30</v>
      </c>
      <c r="T10" s="191" t="s">
        <v>31</v>
      </c>
      <c r="U10" s="191" t="s">
        <v>30</v>
      </c>
      <c r="V10" s="192" t="s">
        <v>32</v>
      </c>
      <c r="W10" s="192" t="s">
        <v>30</v>
      </c>
      <c r="X10" s="191" t="s">
        <v>33</v>
      </c>
      <c r="Y10" s="191" t="s">
        <v>30</v>
      </c>
      <c r="Z10" s="191" t="s">
        <v>34</v>
      </c>
      <c r="AA10" s="191" t="s">
        <v>30</v>
      </c>
      <c r="AB10" s="192" t="s">
        <v>35</v>
      </c>
      <c r="AC10" s="190" t="s">
        <v>36</v>
      </c>
      <c r="AD10" s="190" t="s">
        <v>30</v>
      </c>
      <c r="AE10" s="190" t="s">
        <v>37</v>
      </c>
      <c r="AF10" s="193" t="s">
        <v>30</v>
      </c>
      <c r="AH10" s="193" t="s">
        <v>38</v>
      </c>
      <c r="AI10" s="193" t="s">
        <v>30</v>
      </c>
      <c r="AJ10" s="193" t="s">
        <v>39</v>
      </c>
      <c r="AK10" s="193" t="s">
        <v>30</v>
      </c>
      <c r="AL10" s="179"/>
      <c r="AM10" s="175"/>
      <c r="AN10" s="175"/>
      <c r="AW10" s="194"/>
      <c r="AX10" s="172"/>
      <c r="BC10" s="184"/>
      <c r="BD10" s="184"/>
      <c r="BE10" s="184"/>
      <c r="BF10" s="184"/>
      <c r="BG10" s="184"/>
      <c r="BH10" s="184"/>
      <c r="BN10" s="319" t="s">
        <v>40</v>
      </c>
      <c r="BO10" s="317"/>
      <c r="BP10" s="317"/>
      <c r="BQ10" s="317"/>
      <c r="BR10" s="318"/>
      <c r="BT10" s="319" t="s">
        <v>41</v>
      </c>
      <c r="BU10" s="317"/>
      <c r="BV10" s="317"/>
      <c r="BW10" s="317"/>
      <c r="BX10" s="318"/>
      <c r="BY10" s="181"/>
      <c r="BZ10" s="316" t="s">
        <v>42</v>
      </c>
      <c r="CA10" s="317"/>
      <c r="CB10" s="317"/>
      <c r="CC10" s="317"/>
      <c r="CD10" s="318"/>
      <c r="CE10" s="188"/>
      <c r="CF10" s="319" t="s">
        <v>43</v>
      </c>
      <c r="CG10" s="317"/>
      <c r="CH10" s="317"/>
      <c r="CI10" s="317"/>
      <c r="CJ10" s="318"/>
      <c r="CL10" s="316" t="s">
        <v>44</v>
      </c>
      <c r="CM10" s="317"/>
      <c r="CN10" s="317"/>
      <c r="CO10" s="317"/>
      <c r="CP10" s="318"/>
      <c r="CR10" s="306" t="s">
        <v>45</v>
      </c>
      <c r="CS10" s="300"/>
      <c r="CT10" s="304"/>
    </row>
    <row r="11" spans="2:110" s="63" customFormat="1" ht="12.6" customHeight="1">
      <c r="B11" s="110">
        <v>1</v>
      </c>
      <c r="C11" s="102">
        <f>NMBS_flexabo!$C5*$AR$15</f>
        <v>396</v>
      </c>
      <c r="D11" s="102">
        <f>NMBS_flexabo!$D5*$AR$22</f>
        <v>352</v>
      </c>
      <c r="E11" s="102">
        <f>NMBS_flexabo!$E5*VLOOKUP($B$5,$AS$43:$AY$43,7,FALSE)</f>
        <v>376.65000000000003</v>
      </c>
      <c r="F11" s="102">
        <f>NMBS_flexabo!$F5*VLOOKUP($B$5,$AS$45:$AY$48,7,FALSE)</f>
        <v>369</v>
      </c>
      <c r="G11" s="104">
        <f>IFERROR(VLOOKUP($B11,NMBS_abonnementen!$G$7:$H$156,2,FALSE),"-")*VLOOKUP($B$5,NMBS_halftijds!$P$4:$Q$44,2)</f>
        <v>371.19513600000005</v>
      </c>
      <c r="H11" s="104">
        <f>IFERROR(VLOOKUP($B11,NMBS_abonnementen!$G$7:$I$156,3,FALSE)*$BB$22,"-")</f>
        <v>540</v>
      </c>
      <c r="I11" s="104">
        <f>IFERROR(VLOOKUP($B11,NMBS_abonnementen!$G$7:$M$156,7,FALSE)*$BB$23,"-")</f>
        <v>504</v>
      </c>
      <c r="J11" s="104" t="str">
        <f>IFERROR(VLOOKUP($B11,NMBS_abonnementen!$G$7:$Q$156,11,FALSE),"-")</f>
        <v xml:space="preserve"> 450,00</v>
      </c>
      <c r="K11" s="104">
        <f>VLOOKUP($B11,NMBS_ticketten!$G$6:$I$155,3,FALSE)*$B$5*$E$5</f>
        <v>540</v>
      </c>
      <c r="L11" s="101" t="str">
        <f t="shared" ref="L11:L74" si="0">IFERROR($BE$45-VLOOKUP($I$5,$BB$46:$BD$47,3),"")</f>
        <v/>
      </c>
      <c r="M11" s="101">
        <f t="shared" ref="M11:M74" si="1">$BE$29-VLOOKUP($I$5,$BA$30:$BC$31,3)</f>
        <v>2203.2000000000003</v>
      </c>
      <c r="N11" s="103">
        <f t="shared" ref="N11:N74" si="2">$BE$38</f>
        <v>669.6</v>
      </c>
      <c r="O11" s="174"/>
      <c r="P11" s="269">
        <f t="shared" ref="P11:P42" si="3">MIN(C11:M11)</f>
        <v>352</v>
      </c>
      <c r="Q11" s="270">
        <f t="shared" ref="Q11:Q42" si="4">P11</f>
        <v>352</v>
      </c>
      <c r="R11" s="195">
        <f>IFERROR(VLOOKUP($B11,NMBS_abonnementen!$G$7:$J$156,4,FALSE)*$CS$11,"-")</f>
        <v>1080</v>
      </c>
      <c r="S11" s="196">
        <f t="shared" ref="S11:S42" si="5">R11-$Q11</f>
        <v>728</v>
      </c>
      <c r="T11" s="195">
        <f>IFERROR(VLOOKUP($B11,NMBS_abonnementen!$G$7:$N$156,8,FALSE)*$CS$12,"-")</f>
        <v>976</v>
      </c>
      <c r="U11" s="196">
        <f t="shared" ref="U11:U42" si="6">T11-$Q11</f>
        <v>624</v>
      </c>
      <c r="V11" s="197">
        <f>IFERROR(VLOOKUP($B11,NMBS_abonnementen!$G$7:$R$156,12,FALSE)*$CS$13,"-")</f>
        <v>749</v>
      </c>
      <c r="W11" s="196">
        <f t="shared" ref="W11:W42" si="7">V11-$Q11</f>
        <v>397</v>
      </c>
      <c r="X11" s="195">
        <f>IFERROR(VLOOKUP($B11,NMBS_abonnementen!$G$7:$K$156,5,FALSE)*$CS$18,"-")</f>
        <v>888</v>
      </c>
      <c r="Y11" s="196">
        <f t="shared" ref="Y11:Y42" si="8">X11-$Q11</f>
        <v>536</v>
      </c>
      <c r="Z11" s="195">
        <f>IFERROR(VLOOKUP($B11,NMBS_abonnementen!$G$7:$O$156,9,FALSE)*$CS$19,"-")</f>
        <v>772</v>
      </c>
      <c r="AA11" s="196">
        <f t="shared" ref="AA11:AA42" si="9">Z11-$Q11</f>
        <v>420</v>
      </c>
      <c r="AB11" s="197">
        <f>IFERROR(VLOOKUP($B11,NMBS_abonnementen!$G$7:$S$156,13,FALSE),"-")</f>
        <v>625</v>
      </c>
      <c r="AC11" s="196">
        <f>$BI$12</f>
        <v>720</v>
      </c>
      <c r="AD11" s="196">
        <f t="shared" ref="AD11:AD42" si="10">AC11-N11</f>
        <v>50.399999999999977</v>
      </c>
      <c r="AE11" s="196">
        <f t="shared" ref="AE11:AE42" si="11">$BI$13</f>
        <v>484</v>
      </c>
      <c r="AF11" s="198">
        <f t="shared" ref="AF11:AF42" si="12">AE11-AC11</f>
        <v>-236</v>
      </c>
      <c r="AG11" s="173"/>
      <c r="AH11" s="198">
        <f t="shared" ref="AH11:AH42" si="13">$BE$38</f>
        <v>669.6</v>
      </c>
      <c r="AI11" s="198">
        <f t="shared" ref="AI11:AI42" si="14">AH11-AE11</f>
        <v>185.60000000000002</v>
      </c>
      <c r="AJ11" s="198">
        <f t="shared" ref="AJ11:AJ42" si="15">$BE$38</f>
        <v>669.6</v>
      </c>
      <c r="AK11" s="198">
        <f t="shared" ref="AK11:AK42" si="16">AJ11-AH11</f>
        <v>0</v>
      </c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308" t="s">
        <v>46</v>
      </c>
      <c r="BH11" s="309"/>
      <c r="BI11" s="310"/>
      <c r="BJ11" s="173"/>
      <c r="BK11" s="173"/>
      <c r="BL11" s="199"/>
      <c r="BM11" s="199"/>
      <c r="BN11" s="200">
        <v>2.4</v>
      </c>
      <c r="BO11" s="201"/>
      <c r="BP11" s="201">
        <v>1</v>
      </c>
      <c r="BQ11" s="201"/>
      <c r="BR11" s="202"/>
      <c r="BS11" s="203"/>
      <c r="BT11" s="200">
        <v>3</v>
      </c>
      <c r="BU11" s="201"/>
      <c r="BV11" s="201">
        <v>1</v>
      </c>
      <c r="BW11" s="201"/>
      <c r="BX11" s="202"/>
      <c r="BY11" s="199"/>
      <c r="BZ11" s="200">
        <v>329</v>
      </c>
      <c r="CA11" s="201"/>
      <c r="CB11" s="201"/>
      <c r="CC11" s="201"/>
      <c r="CD11" s="202"/>
      <c r="CE11" s="199"/>
      <c r="CF11" s="200">
        <v>6.6</v>
      </c>
      <c r="CG11" s="201" t="s">
        <v>47</v>
      </c>
      <c r="CH11" s="201"/>
      <c r="CI11" s="201"/>
      <c r="CJ11" s="202"/>
      <c r="CK11" s="199"/>
      <c r="CL11" s="200"/>
      <c r="CM11" s="204" t="s">
        <v>48</v>
      </c>
      <c r="CN11" s="201"/>
      <c r="CO11" s="201"/>
      <c r="CP11" s="202"/>
      <c r="CQ11" s="199"/>
      <c r="CR11" s="205">
        <v>1</v>
      </c>
      <c r="CS11" s="206">
        <v>12</v>
      </c>
      <c r="CT11" s="207">
        <v>45</v>
      </c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</row>
    <row r="12" spans="2:110" ht="13.15" customHeight="1">
      <c r="B12" s="110">
        <v>2</v>
      </c>
      <c r="C12" s="102">
        <f>NMBS_flexabo!$C6*$AR$15</f>
        <v>396</v>
      </c>
      <c r="D12" s="102">
        <f>NMBS_flexabo!$D6*$AR$22</f>
        <v>352</v>
      </c>
      <c r="E12" s="102">
        <f>NMBS_flexabo!$E6*VLOOKUP($B$5,$AS$43:$AY$43,7,FALSE)</f>
        <v>376.65000000000003</v>
      </c>
      <c r="F12" s="102">
        <f>NMBS_flexabo!$F6*VLOOKUP($B$5,$AS$45:$AY$48,7,FALSE)</f>
        <v>369</v>
      </c>
      <c r="G12" s="104">
        <f>IFERROR(VLOOKUP($B12,NMBS_abonnementen!$G$7:$H$156,2,FALSE),"-")*VLOOKUP($B$5,NMBS_halftijds!$P$4:$Q$44,2)</f>
        <v>371.19513600000005</v>
      </c>
      <c r="H12" s="104">
        <f>IFERROR(VLOOKUP($B12,NMBS_abonnementen!$G$7:$I$156,3,FALSE)*$BB$22,"-")</f>
        <v>540</v>
      </c>
      <c r="I12" s="104">
        <f>IFERROR(VLOOKUP($B12,NMBS_abonnementen!$G$7:$M$156,7,FALSE)*$BB$23,"-")</f>
        <v>504</v>
      </c>
      <c r="J12" s="104" t="str">
        <f>IFERROR(VLOOKUP($B12,NMBS_abonnementen!$G$7:$Q$156,11,FALSE),"-")</f>
        <v xml:space="preserve"> 450,00</v>
      </c>
      <c r="K12" s="104">
        <f>VLOOKUP($B12,NMBS_ticketten!$G$6:$I$155,3,FALSE)*$B$5*$E$5</f>
        <v>540</v>
      </c>
      <c r="L12" s="101" t="str">
        <f t="shared" si="0"/>
        <v/>
      </c>
      <c r="M12" s="101">
        <f t="shared" si="1"/>
        <v>2203.2000000000003</v>
      </c>
      <c r="N12" s="103">
        <f t="shared" si="2"/>
        <v>669.6</v>
      </c>
      <c r="O12" s="174"/>
      <c r="P12" s="269">
        <f t="shared" si="3"/>
        <v>352</v>
      </c>
      <c r="Q12" s="270">
        <f t="shared" si="4"/>
        <v>352</v>
      </c>
      <c r="R12" s="208">
        <f>IFERROR(VLOOKUP($B12,NMBS_abonnementen!$G$7:$J$156,4,FALSE)*$CS$11,"-")</f>
        <v>1080</v>
      </c>
      <c r="S12" s="209">
        <f t="shared" si="5"/>
        <v>728</v>
      </c>
      <c r="T12" s="208">
        <f>IFERROR(VLOOKUP($B12,NMBS_abonnementen!$G$7:$N$156,8,FALSE)*$CS$12,"-")</f>
        <v>976</v>
      </c>
      <c r="U12" s="209">
        <f t="shared" si="6"/>
        <v>624</v>
      </c>
      <c r="V12" s="210">
        <f>IFERROR(VLOOKUP($B12,NMBS_abonnementen!$G$7:$R$156,12,FALSE)*$CS$13,"-")</f>
        <v>749</v>
      </c>
      <c r="W12" s="209">
        <f t="shared" si="7"/>
        <v>397</v>
      </c>
      <c r="X12" s="208">
        <f>IFERROR(VLOOKUP($B12,NMBS_abonnementen!$G$7:$K$156,5,FALSE)*$CS$18,"-")</f>
        <v>888</v>
      </c>
      <c r="Y12" s="209">
        <f t="shared" si="8"/>
        <v>536</v>
      </c>
      <c r="Z12" s="208">
        <f>IFERROR(VLOOKUP($B12,NMBS_abonnementen!$G$7:$O$156,9,FALSE)*$CS$19,"-")</f>
        <v>772</v>
      </c>
      <c r="AA12" s="209">
        <f t="shared" si="9"/>
        <v>420</v>
      </c>
      <c r="AB12" s="210">
        <f>IFERROR(VLOOKUP($B12,NMBS_abonnementen!$G$7:$S$156,13,FALSE),"-")</f>
        <v>625</v>
      </c>
      <c r="AC12" s="198">
        <f t="shared" ref="AC12:AC75" si="17">$BI$12</f>
        <v>720</v>
      </c>
      <c r="AD12" s="198">
        <f t="shared" si="10"/>
        <v>50.399999999999977</v>
      </c>
      <c r="AE12" s="198">
        <f t="shared" si="11"/>
        <v>484</v>
      </c>
      <c r="AF12" s="198">
        <f t="shared" si="12"/>
        <v>-236</v>
      </c>
      <c r="AH12" s="198">
        <f t="shared" si="13"/>
        <v>669.6</v>
      </c>
      <c r="AI12" s="198">
        <f t="shared" si="14"/>
        <v>185.60000000000002</v>
      </c>
      <c r="AJ12" s="198">
        <f t="shared" si="15"/>
        <v>669.6</v>
      </c>
      <c r="AK12" s="198">
        <f t="shared" si="16"/>
        <v>0</v>
      </c>
      <c r="AL12" s="179"/>
      <c r="AM12" s="175"/>
      <c r="AN12" s="211">
        <v>6</v>
      </c>
      <c r="AO12" s="212"/>
      <c r="AP12" s="212"/>
      <c r="AQ12" s="212"/>
      <c r="AR12" s="212"/>
      <c r="AT12" s="213">
        <v>6</v>
      </c>
      <c r="AU12" s="214"/>
      <c r="AV12" s="214"/>
      <c r="AW12" s="214"/>
      <c r="AX12" s="214"/>
      <c r="AY12" s="181"/>
      <c r="BA12" s="313" t="s">
        <v>49</v>
      </c>
      <c r="BB12" s="314"/>
      <c r="BC12" s="314"/>
      <c r="BD12" s="314"/>
      <c r="BE12" s="315"/>
      <c r="BF12" s="215"/>
      <c r="BG12" s="216">
        <v>12</v>
      </c>
      <c r="BH12" s="217">
        <v>60</v>
      </c>
      <c r="BI12" s="218">
        <f>BG12*BH12</f>
        <v>720</v>
      </c>
      <c r="BN12" s="200"/>
      <c r="BO12" s="201"/>
      <c r="BP12" s="201"/>
      <c r="BQ12" s="201"/>
      <c r="BR12" s="202"/>
      <c r="BT12" s="200"/>
      <c r="BU12" s="201"/>
      <c r="BV12" s="201"/>
      <c r="BW12" s="201"/>
      <c r="BX12" s="202"/>
      <c r="BY12" s="181"/>
      <c r="BZ12" s="200"/>
      <c r="CA12" s="201"/>
      <c r="CB12" s="201"/>
      <c r="CC12" s="201"/>
      <c r="CD12" s="202"/>
      <c r="CF12" s="200"/>
      <c r="CG12" s="201"/>
      <c r="CH12" s="201"/>
      <c r="CI12" s="201"/>
      <c r="CJ12" s="202"/>
      <c r="CL12" s="200"/>
      <c r="CM12" s="201"/>
      <c r="CN12" s="201"/>
      <c r="CO12" s="201"/>
      <c r="CP12" s="202"/>
      <c r="CR12" s="219">
        <v>3</v>
      </c>
      <c r="CS12" s="220">
        <v>4</v>
      </c>
      <c r="CT12" s="221">
        <v>118</v>
      </c>
    </row>
    <row r="13" spans="2:110" ht="13.15" customHeight="1">
      <c r="B13" s="110">
        <v>3</v>
      </c>
      <c r="C13" s="102">
        <f>NMBS_flexabo!$C7*$AR$15</f>
        <v>396</v>
      </c>
      <c r="D13" s="102">
        <f>NMBS_flexabo!$D7*$AR$22</f>
        <v>352</v>
      </c>
      <c r="E13" s="102">
        <f>NMBS_flexabo!$E7*VLOOKUP($B$5,$AS$43:$AY$43,7,FALSE)</f>
        <v>376.65000000000003</v>
      </c>
      <c r="F13" s="102">
        <f>NMBS_flexabo!$F7*VLOOKUP($B$5,$AS$45:$AY$48,7,FALSE)</f>
        <v>369</v>
      </c>
      <c r="G13" s="104">
        <f>IFERROR(VLOOKUP($B13,NMBS_abonnementen!$G$7:$H$156,2,FALSE),"-")*VLOOKUP($B$5,NMBS_halftijds!$P$4:$Q$44,2)</f>
        <v>371.19513600000005</v>
      </c>
      <c r="H13" s="104">
        <f>IFERROR(VLOOKUP($B13,NMBS_abonnementen!$G$7:$I$156,3,FALSE)*$BB$22,"-")</f>
        <v>540</v>
      </c>
      <c r="I13" s="104">
        <f>IFERROR(VLOOKUP($B13,NMBS_abonnementen!$G$7:$M$156,7,FALSE)*$BB$23,"-")</f>
        <v>504</v>
      </c>
      <c r="J13" s="104" t="str">
        <f>IFERROR(VLOOKUP($B13,NMBS_abonnementen!$G$7:$Q$156,11,FALSE),"-")</f>
        <v xml:space="preserve"> 450,00</v>
      </c>
      <c r="K13" s="104">
        <f>VLOOKUP($B13,NMBS_ticketten!$G$6:$I$155,3,FALSE)*$B$5*$E$5</f>
        <v>540</v>
      </c>
      <c r="L13" s="101" t="str">
        <f t="shared" si="0"/>
        <v/>
      </c>
      <c r="M13" s="101">
        <f t="shared" si="1"/>
        <v>2203.2000000000003</v>
      </c>
      <c r="N13" s="103">
        <f t="shared" si="2"/>
        <v>669.6</v>
      </c>
      <c r="O13" s="174"/>
      <c r="P13" s="269">
        <f t="shared" si="3"/>
        <v>352</v>
      </c>
      <c r="Q13" s="270">
        <f t="shared" si="4"/>
        <v>352</v>
      </c>
      <c r="R13" s="208">
        <f>IFERROR(VLOOKUP($B13,NMBS_abonnementen!$G$7:$J$156,4,FALSE)*$CS$11,"-")</f>
        <v>1080</v>
      </c>
      <c r="S13" s="209">
        <f t="shared" si="5"/>
        <v>728</v>
      </c>
      <c r="T13" s="208">
        <f>IFERROR(VLOOKUP($B13,NMBS_abonnementen!$G$7:$N$156,8,FALSE)*$CS$12,"-")</f>
        <v>976</v>
      </c>
      <c r="U13" s="209">
        <f t="shared" si="6"/>
        <v>624</v>
      </c>
      <c r="V13" s="210">
        <f>IFERROR(VLOOKUP($B13,NMBS_abonnementen!$G$7:$R$156,12,FALSE)*$CS$13,"-")</f>
        <v>749</v>
      </c>
      <c r="W13" s="209">
        <f t="shared" si="7"/>
        <v>397</v>
      </c>
      <c r="X13" s="208">
        <f>IFERROR(VLOOKUP($B13,NMBS_abonnementen!$G$7:$K$156,5,FALSE)*$CS$18,"-")</f>
        <v>888</v>
      </c>
      <c r="Y13" s="209">
        <f t="shared" si="8"/>
        <v>536</v>
      </c>
      <c r="Z13" s="208">
        <f>IFERROR(VLOOKUP($B13,NMBS_abonnementen!$G$7:$O$156,9,FALSE)*$CS$19,"-")</f>
        <v>772</v>
      </c>
      <c r="AA13" s="209">
        <f t="shared" si="9"/>
        <v>420</v>
      </c>
      <c r="AB13" s="210">
        <f>IFERROR(VLOOKUP($B13,NMBS_abonnementen!$G$7:$S$156,13,FALSE),"-")</f>
        <v>625</v>
      </c>
      <c r="AC13" s="198">
        <f t="shared" si="17"/>
        <v>720</v>
      </c>
      <c r="AD13" s="198">
        <f t="shared" si="10"/>
        <v>50.399999999999977</v>
      </c>
      <c r="AE13" s="198">
        <f t="shared" si="11"/>
        <v>484</v>
      </c>
      <c r="AF13" s="198">
        <f t="shared" si="12"/>
        <v>-236</v>
      </c>
      <c r="AH13" s="198">
        <f t="shared" si="13"/>
        <v>669.6</v>
      </c>
      <c r="AI13" s="198">
        <f t="shared" si="14"/>
        <v>185.60000000000002</v>
      </c>
      <c r="AJ13" s="198">
        <f t="shared" si="15"/>
        <v>669.6</v>
      </c>
      <c r="AK13" s="198">
        <f t="shared" si="16"/>
        <v>0</v>
      </c>
      <c r="AL13" s="179"/>
      <c r="AM13" s="175"/>
      <c r="AN13" s="288" t="s">
        <v>50</v>
      </c>
      <c r="AO13" s="290" t="s">
        <v>51</v>
      </c>
      <c r="AP13" s="290" t="s">
        <v>52</v>
      </c>
      <c r="AQ13" s="290" t="s">
        <v>53</v>
      </c>
      <c r="AR13" s="302" t="s">
        <v>54</v>
      </c>
      <c r="AT13" s="306" t="s">
        <v>50</v>
      </c>
      <c r="AU13" s="300" t="s">
        <v>51</v>
      </c>
      <c r="AV13" s="300" t="s">
        <v>52</v>
      </c>
      <c r="AW13" s="300" t="s">
        <v>53</v>
      </c>
      <c r="AX13" s="304" t="s">
        <v>54</v>
      </c>
      <c r="AY13" s="181"/>
      <c r="BA13" s="313">
        <v>52</v>
      </c>
      <c r="BB13" s="314"/>
      <c r="BC13" s="314"/>
      <c r="BD13" s="314"/>
      <c r="BE13" s="315"/>
      <c r="BF13" s="215"/>
      <c r="BG13" s="222">
        <v>1</v>
      </c>
      <c r="BH13" s="217">
        <v>484</v>
      </c>
      <c r="BI13" s="223">
        <f>BH13*BG13</f>
        <v>484</v>
      </c>
      <c r="BN13" s="224">
        <v>1</v>
      </c>
      <c r="BO13" s="225">
        <f>BN13*$E$5</f>
        <v>45</v>
      </c>
      <c r="BP13" s="226">
        <v>2</v>
      </c>
      <c r="BQ13" s="226">
        <f>BP13*BO13</f>
        <v>90</v>
      </c>
      <c r="BR13" s="227">
        <f>BQ13*$BN$11</f>
        <v>216</v>
      </c>
      <c r="BT13" s="224">
        <v>1</v>
      </c>
      <c r="BU13" s="225">
        <f>BT13*$E$5</f>
        <v>45</v>
      </c>
      <c r="BV13" s="226">
        <v>2</v>
      </c>
      <c r="BW13" s="226">
        <f>BV13*BU13</f>
        <v>90</v>
      </c>
      <c r="BX13" s="227">
        <f>BW13*$BT$11</f>
        <v>270</v>
      </c>
      <c r="BY13" s="181"/>
      <c r="BZ13" s="224">
        <v>1</v>
      </c>
      <c r="CA13" s="225">
        <f>BZ13*$E$5</f>
        <v>45</v>
      </c>
      <c r="CB13" s="226">
        <v>12</v>
      </c>
      <c r="CC13" s="226">
        <f>CB13*$BZ$11</f>
        <v>3948</v>
      </c>
      <c r="CD13" s="227">
        <f>CC13</f>
        <v>3948</v>
      </c>
      <c r="CF13" s="224">
        <v>1</v>
      </c>
      <c r="CG13" s="225">
        <f>CF13*$E$5</f>
        <v>45</v>
      </c>
      <c r="CH13" s="226">
        <v>2</v>
      </c>
      <c r="CI13" s="226">
        <f>CH13*CG13</f>
        <v>90</v>
      </c>
      <c r="CJ13" s="227">
        <f>CI13*$CF$11</f>
        <v>594</v>
      </c>
      <c r="CL13" s="224">
        <v>1</v>
      </c>
      <c r="CM13" s="225">
        <f>CL13*$E$5</f>
        <v>45</v>
      </c>
      <c r="CN13" s="226">
        <v>12</v>
      </c>
      <c r="CO13" s="226">
        <f>CN13*$BZ$11</f>
        <v>3948</v>
      </c>
      <c r="CP13" s="227">
        <f>CO13</f>
        <v>3948</v>
      </c>
      <c r="CR13" s="219">
        <v>12</v>
      </c>
      <c r="CS13" s="228">
        <v>1</v>
      </c>
      <c r="CT13" s="229">
        <v>299</v>
      </c>
    </row>
    <row r="14" spans="2:110" ht="12.6" customHeight="1">
      <c r="B14" s="110">
        <v>4</v>
      </c>
      <c r="C14" s="102">
        <f>NMBS_flexabo!$C8*$AR$15</f>
        <v>432</v>
      </c>
      <c r="D14" s="102">
        <f>NMBS_flexabo!$D8*$AR$22</f>
        <v>385</v>
      </c>
      <c r="E14" s="102">
        <f>NMBS_flexabo!$E8*VLOOKUP($B$5,$AS$43:$AY$43,7,FALSE)</f>
        <v>410.40000000000003</v>
      </c>
      <c r="F14" s="102">
        <f>NMBS_flexabo!$F8*VLOOKUP($B$5,$AS$45:$AY$48,7,FALSE)</f>
        <v>401</v>
      </c>
      <c r="G14" s="104">
        <f>IFERROR(VLOOKUP($B14,NMBS_abonnementen!$G$7:$H$156,2,FALSE),"-")*VLOOKUP($B$5,NMBS_halftijds!$P$4:$Q$44,2)</f>
        <v>405.16070400000001</v>
      </c>
      <c r="H14" s="104">
        <f>IFERROR(VLOOKUP($B14,NMBS_abonnementen!$G$7:$I$156,3,FALSE)*$BB$22,"-")</f>
        <v>588</v>
      </c>
      <c r="I14" s="104">
        <f>IFERROR(VLOOKUP($B14,NMBS_abonnementen!$G$7:$M$156,7,FALSE)*$BB$23,"-")</f>
        <v>548</v>
      </c>
      <c r="J14" s="104" t="str">
        <f>IFERROR(VLOOKUP($B14,NMBS_abonnementen!$G$7:$Q$156,11,FALSE),"-")</f>
        <v xml:space="preserve"> 490,00</v>
      </c>
      <c r="K14" s="104">
        <f>VLOOKUP($B14,NMBS_ticketten!$G$6:$I$155,3,FALSE)*$B$5*$E$5</f>
        <v>540</v>
      </c>
      <c r="L14" s="101" t="str">
        <f t="shared" si="0"/>
        <v/>
      </c>
      <c r="M14" s="101">
        <f t="shared" si="1"/>
        <v>2203.2000000000003</v>
      </c>
      <c r="N14" s="103">
        <f t="shared" si="2"/>
        <v>669.6</v>
      </c>
      <c r="O14" s="174"/>
      <c r="P14" s="269">
        <f t="shared" si="3"/>
        <v>385</v>
      </c>
      <c r="Q14" s="270">
        <f t="shared" si="4"/>
        <v>385</v>
      </c>
      <c r="R14" s="208">
        <f>IFERROR(VLOOKUP($B14,NMBS_abonnementen!$G$7:$J$156,4,FALSE)*$CS$11,"-")</f>
        <v>1128</v>
      </c>
      <c r="S14" s="209">
        <f t="shared" si="5"/>
        <v>743</v>
      </c>
      <c r="T14" s="208">
        <f>IFERROR(VLOOKUP($B14,NMBS_abonnementen!$G$7:$N$156,8,FALSE)*$CS$12,"-")</f>
        <v>1020</v>
      </c>
      <c r="U14" s="209">
        <f t="shared" si="6"/>
        <v>635</v>
      </c>
      <c r="V14" s="210">
        <f>IFERROR(VLOOKUP($B14,NMBS_abonnementen!$G$7:$R$156,12,FALSE)*$CS$13,"-")</f>
        <v>789</v>
      </c>
      <c r="W14" s="209">
        <f t="shared" si="7"/>
        <v>404</v>
      </c>
      <c r="X14" s="208">
        <f>IFERROR(VLOOKUP($B14,NMBS_abonnementen!$G$7:$K$156,5,FALSE)*$CS$18,"-")</f>
        <v>936</v>
      </c>
      <c r="Y14" s="209">
        <f t="shared" si="8"/>
        <v>551</v>
      </c>
      <c r="Z14" s="208">
        <f>IFERROR(VLOOKUP($B14,NMBS_abonnementen!$G$7:$O$156,9,FALSE)*$CS$19,"-")</f>
        <v>816</v>
      </c>
      <c r="AA14" s="209">
        <f t="shared" si="9"/>
        <v>431</v>
      </c>
      <c r="AB14" s="210">
        <f>IFERROR(VLOOKUP($B14,NMBS_abonnementen!$G$7:$S$156,13,FALSE),"-")</f>
        <v>665</v>
      </c>
      <c r="AC14" s="198">
        <f t="shared" si="17"/>
        <v>720</v>
      </c>
      <c r="AD14" s="198">
        <f t="shared" si="10"/>
        <v>50.399999999999977</v>
      </c>
      <c r="AE14" s="198">
        <f t="shared" si="11"/>
        <v>484</v>
      </c>
      <c r="AF14" s="198">
        <f t="shared" si="12"/>
        <v>-236</v>
      </c>
      <c r="AH14" s="198">
        <f t="shared" si="13"/>
        <v>669.6</v>
      </c>
      <c r="AI14" s="198">
        <f t="shared" si="14"/>
        <v>185.60000000000002</v>
      </c>
      <c r="AJ14" s="198">
        <f t="shared" si="15"/>
        <v>669.6</v>
      </c>
      <c r="AK14" s="198">
        <f t="shared" si="16"/>
        <v>0</v>
      </c>
      <c r="AL14" s="179"/>
      <c r="AM14" s="175"/>
      <c r="AN14" s="289"/>
      <c r="AO14" s="291"/>
      <c r="AP14" s="291"/>
      <c r="AQ14" s="291"/>
      <c r="AR14" s="303"/>
      <c r="AT14" s="307"/>
      <c r="AU14" s="301"/>
      <c r="AV14" s="301"/>
      <c r="AW14" s="301"/>
      <c r="AX14" s="305"/>
      <c r="AY14" s="181"/>
      <c r="BA14" s="230" t="s">
        <v>50</v>
      </c>
      <c r="BB14" s="231" t="s">
        <v>55</v>
      </c>
      <c r="BC14" s="231" t="s">
        <v>56</v>
      </c>
      <c r="BD14" s="231"/>
      <c r="BE14" s="232"/>
      <c r="BF14" s="215"/>
      <c r="BN14" s="224">
        <v>2</v>
      </c>
      <c r="BO14" s="225">
        <f>BN14*$E$5</f>
        <v>90</v>
      </c>
      <c r="BP14" s="226">
        <v>2</v>
      </c>
      <c r="BQ14" s="226">
        <f>BP14*BO14</f>
        <v>180</v>
      </c>
      <c r="BR14" s="227">
        <f>BQ14*$BN$11</f>
        <v>432</v>
      </c>
      <c r="BT14" s="224">
        <v>2</v>
      </c>
      <c r="BU14" s="225">
        <f>BT14*$E$5</f>
        <v>90</v>
      </c>
      <c r="BV14" s="226">
        <v>2</v>
      </c>
      <c r="BW14" s="226">
        <f>BV14*BU14</f>
        <v>180</v>
      </c>
      <c r="BX14" s="227">
        <f>BW14*$BT$11</f>
        <v>540</v>
      </c>
      <c r="BY14" s="181"/>
      <c r="BZ14" s="224">
        <v>2</v>
      </c>
      <c r="CA14" s="225">
        <f>BZ14*$E$5</f>
        <v>90</v>
      </c>
      <c r="CB14" s="226">
        <v>12</v>
      </c>
      <c r="CC14" s="226">
        <f>CB14*$BZ$11</f>
        <v>3948</v>
      </c>
      <c r="CD14" s="227">
        <f>CC14</f>
        <v>3948</v>
      </c>
      <c r="CF14" s="224">
        <v>2</v>
      </c>
      <c r="CG14" s="225">
        <f>CF14*$E$5</f>
        <v>90</v>
      </c>
      <c r="CH14" s="226">
        <v>2</v>
      </c>
      <c r="CI14" s="226">
        <f>CH14*CG14</f>
        <v>180</v>
      </c>
      <c r="CJ14" s="227">
        <f>CI14*$CF$11</f>
        <v>1188</v>
      </c>
      <c r="CL14" s="224">
        <v>2</v>
      </c>
      <c r="CM14" s="225">
        <f>CL14*$E$5</f>
        <v>90</v>
      </c>
      <c r="CN14" s="226">
        <v>12</v>
      </c>
      <c r="CO14" s="226">
        <f>CN14*$BZ$11</f>
        <v>3948</v>
      </c>
      <c r="CP14" s="227">
        <f>CO14</f>
        <v>3948</v>
      </c>
    </row>
    <row r="15" spans="2:110" ht="12" customHeight="1">
      <c r="B15" s="110">
        <v>5</v>
      </c>
      <c r="C15" s="102">
        <f>NMBS_flexabo!$C9*$AR$15</f>
        <v>468</v>
      </c>
      <c r="D15" s="102">
        <f>NMBS_flexabo!$D9*$AR$22</f>
        <v>412.5</v>
      </c>
      <c r="E15" s="102">
        <f>NMBS_flexabo!$E9*VLOOKUP($B$5,$AS$43:$AY$43,7,FALSE)</f>
        <v>442.8</v>
      </c>
      <c r="F15" s="102">
        <f>NMBS_flexabo!$F9*VLOOKUP($B$5,$AS$45:$AY$48,7,FALSE)</f>
        <v>434</v>
      </c>
      <c r="G15" s="104">
        <f>IFERROR(VLOOKUP($B15,NMBS_abonnementen!$G$7:$H$156,2,FALSE),"-")*VLOOKUP($B$5,NMBS_halftijds!$P$4:$Q$44,2)</f>
        <v>436.70016000000004</v>
      </c>
      <c r="H15" s="104">
        <f>IFERROR(VLOOKUP($B15,NMBS_abonnementen!$G$7:$I$156,3,FALSE)*$BB$22,"-")</f>
        <v>636</v>
      </c>
      <c r="I15" s="104">
        <f>IFERROR(VLOOKUP($B15,NMBS_abonnementen!$G$7:$M$156,7,FALSE)*$BB$23,"-")</f>
        <v>592</v>
      </c>
      <c r="J15" s="104" t="str">
        <f>IFERROR(VLOOKUP($B15,NMBS_abonnementen!$G$7:$Q$156,11,FALSE),"-")</f>
        <v xml:space="preserve"> 529,00</v>
      </c>
      <c r="K15" s="104">
        <f>VLOOKUP($B15,NMBS_ticketten!$G$6:$I$155,3,FALSE)*$B$5*$E$5</f>
        <v>540</v>
      </c>
      <c r="L15" s="101" t="str">
        <f t="shared" si="0"/>
        <v/>
      </c>
      <c r="M15" s="101">
        <f t="shared" si="1"/>
        <v>2203.2000000000003</v>
      </c>
      <c r="N15" s="103">
        <f t="shared" si="2"/>
        <v>669.6</v>
      </c>
      <c r="O15" s="174"/>
      <c r="P15" s="269">
        <f t="shared" si="3"/>
        <v>412.5</v>
      </c>
      <c r="Q15" s="270">
        <f t="shared" si="4"/>
        <v>412.5</v>
      </c>
      <c r="R15" s="208">
        <f>IFERROR(VLOOKUP($B15,NMBS_abonnementen!$G$7:$J$156,4,FALSE)*$CS$11,"-")</f>
        <v>1176</v>
      </c>
      <c r="S15" s="209">
        <f t="shared" si="5"/>
        <v>763.5</v>
      </c>
      <c r="T15" s="208">
        <f>IFERROR(VLOOKUP($B15,NMBS_abonnementen!$G$7:$N$156,8,FALSE)*$CS$12,"-")</f>
        <v>1064</v>
      </c>
      <c r="U15" s="209">
        <f t="shared" si="6"/>
        <v>651.5</v>
      </c>
      <c r="V15" s="210">
        <f>IFERROR(VLOOKUP($B15,NMBS_abonnementen!$G$7:$R$156,12,FALSE)*$CS$13,"-")</f>
        <v>828</v>
      </c>
      <c r="W15" s="209">
        <f t="shared" si="7"/>
        <v>415.5</v>
      </c>
      <c r="X15" s="208">
        <f>IFERROR(VLOOKUP($B15,NMBS_abonnementen!$G$7:$K$156,5,FALSE)*$CS$18,"-")</f>
        <v>984</v>
      </c>
      <c r="Y15" s="209">
        <f t="shared" si="8"/>
        <v>571.5</v>
      </c>
      <c r="Z15" s="208">
        <f>IFERROR(VLOOKUP($B15,NMBS_abonnementen!$G$7:$O$156,9,FALSE)*$CS$19,"-")</f>
        <v>860</v>
      </c>
      <c r="AA15" s="209">
        <f t="shared" si="9"/>
        <v>447.5</v>
      </c>
      <c r="AB15" s="210">
        <f>IFERROR(VLOOKUP($B15,NMBS_abonnementen!$G$7:$S$156,13,FALSE),"-")</f>
        <v>704</v>
      </c>
      <c r="AC15" s="198">
        <f t="shared" si="17"/>
        <v>720</v>
      </c>
      <c r="AD15" s="198">
        <f t="shared" si="10"/>
        <v>50.399999999999977</v>
      </c>
      <c r="AE15" s="198">
        <f t="shared" si="11"/>
        <v>484</v>
      </c>
      <c r="AF15" s="198">
        <f t="shared" si="12"/>
        <v>-236</v>
      </c>
      <c r="AH15" s="198">
        <f t="shared" si="13"/>
        <v>669.6</v>
      </c>
      <c r="AI15" s="198">
        <f t="shared" si="14"/>
        <v>185.60000000000002</v>
      </c>
      <c r="AJ15" s="198">
        <f t="shared" si="15"/>
        <v>669.6</v>
      </c>
      <c r="AK15" s="198">
        <f t="shared" si="16"/>
        <v>0</v>
      </c>
      <c r="AL15" s="179"/>
      <c r="AM15" s="175"/>
      <c r="AN15" s="224">
        <f>$B$5</f>
        <v>2.4</v>
      </c>
      <c r="AO15" s="225">
        <f>$E$5</f>
        <v>45</v>
      </c>
      <c r="AP15" s="233">
        <f>$AU$15/$AX$1</f>
        <v>0.86538461538461542</v>
      </c>
      <c r="AQ15" s="227">
        <f>VLOOKUP($AT$15,'berekening flexabo'!H3:I43,2)</f>
        <v>20.566666666666666</v>
      </c>
      <c r="AR15" s="234">
        <f>ROUNDUP($AP$15*$AQ$15,0)</f>
        <v>18</v>
      </c>
      <c r="AT15" s="216">
        <f>$B$5</f>
        <v>2.4</v>
      </c>
      <c r="AU15" s="235">
        <f>$E$5</f>
        <v>45</v>
      </c>
      <c r="AV15" s="236">
        <f>$AU$15/$AX$1</f>
        <v>0.86538461538461542</v>
      </c>
      <c r="AW15" s="218">
        <f>VLOOKUP($AT$15,'berekening flexabo'!$B$4:$C$8,2)</f>
        <v>17.166666666666668</v>
      </c>
      <c r="AX15" s="237">
        <f>ROUNDUP($AV$15*$AW$15,0)</f>
        <v>15</v>
      </c>
      <c r="AY15" s="181"/>
      <c r="AZ15" s="173"/>
      <c r="BA15" s="238">
        <f>$B$5</f>
        <v>2.4</v>
      </c>
      <c r="BB15" s="235">
        <f>$E$5</f>
        <v>45</v>
      </c>
      <c r="BC15" s="236">
        <f>$BB$15/$BA$13</f>
        <v>0.86538461538461542</v>
      </c>
      <c r="BD15" s="237">
        <f>VLOOKUP(BA15,NMBS_halftijds!P4:Q44,2)</f>
        <v>24.261120000000002</v>
      </c>
      <c r="BE15" s="218">
        <f>BD15*BC15</f>
        <v>20.995200000000004</v>
      </c>
      <c r="BF15" s="215"/>
      <c r="BG15" s="297" t="s">
        <v>57</v>
      </c>
      <c r="BH15" s="298"/>
      <c r="BI15" s="299"/>
      <c r="BN15" s="224">
        <v>3</v>
      </c>
      <c r="BO15" s="225">
        <f>BN15*$E$5</f>
        <v>135</v>
      </c>
      <c r="BP15" s="226">
        <v>2</v>
      </c>
      <c r="BQ15" s="226">
        <f>BP15*BO15</f>
        <v>270</v>
      </c>
      <c r="BR15" s="227">
        <f>BQ15*$BN$11</f>
        <v>648</v>
      </c>
      <c r="BT15" s="224">
        <v>3</v>
      </c>
      <c r="BU15" s="225">
        <f>BT15*$E$5</f>
        <v>135</v>
      </c>
      <c r="BV15" s="226">
        <v>2</v>
      </c>
      <c r="BW15" s="226">
        <f>BV15*BU15</f>
        <v>270</v>
      </c>
      <c r="BX15" s="227">
        <f>BW15*$BT$11</f>
        <v>810</v>
      </c>
      <c r="BY15" s="181"/>
      <c r="BZ15" s="224">
        <v>3</v>
      </c>
      <c r="CA15" s="225">
        <f>BZ15*$E$5</f>
        <v>135</v>
      </c>
      <c r="CB15" s="226">
        <v>12</v>
      </c>
      <c r="CC15" s="226">
        <f>CB15*$BZ$11</f>
        <v>3948</v>
      </c>
      <c r="CD15" s="227">
        <f>CC15</f>
        <v>3948</v>
      </c>
      <c r="CF15" s="224">
        <v>3</v>
      </c>
      <c r="CG15" s="225">
        <f>CF15*$E$5</f>
        <v>135</v>
      </c>
      <c r="CH15" s="226">
        <v>2</v>
      </c>
      <c r="CI15" s="226">
        <f>CH15*CG15</f>
        <v>270</v>
      </c>
      <c r="CJ15" s="227">
        <f>CI15*$CF$11</f>
        <v>1782</v>
      </c>
      <c r="CL15" s="224">
        <v>3</v>
      </c>
      <c r="CM15" s="225">
        <f>CL15*$E$5</f>
        <v>135</v>
      </c>
      <c r="CN15" s="226">
        <v>12</v>
      </c>
      <c r="CO15" s="226">
        <f>CN15*$BZ$11</f>
        <v>3948</v>
      </c>
      <c r="CP15" s="227">
        <f>CO15</f>
        <v>3948</v>
      </c>
      <c r="CR15" s="306" t="s">
        <v>58</v>
      </c>
      <c r="CS15" s="300"/>
      <c r="CT15" s="304"/>
    </row>
    <row r="16" spans="2:110" ht="12" customHeight="1">
      <c r="B16" s="110">
        <v>6</v>
      </c>
      <c r="C16" s="102">
        <f>NMBS_flexabo!$C10*$AR$15</f>
        <v>495</v>
      </c>
      <c r="D16" s="102">
        <f>NMBS_flexabo!$D10*$AR$22</f>
        <v>440</v>
      </c>
      <c r="E16" s="102">
        <f>NMBS_flexabo!$E10*VLOOKUP($B$5,$AS$43:$AY$43,7,FALSE)</f>
        <v>471.15000000000003</v>
      </c>
      <c r="F16" s="102">
        <f>NMBS_flexabo!$F10*VLOOKUP($B$5,$AS$45:$AY$48,7,FALSE)</f>
        <v>462</v>
      </c>
      <c r="G16" s="104">
        <f>IFERROR(VLOOKUP($B16,NMBS_abonnementen!$G$7:$H$156,2,FALSE),"-")*VLOOKUP($B$5,NMBS_halftijds!$P$4:$Q$44,2)</f>
        <v>465.81350400000002</v>
      </c>
      <c r="H16" s="104">
        <f>IFERROR(VLOOKUP($B16,NMBS_abonnementen!$G$7:$I$156,3,FALSE)*$BB$22,"-")</f>
        <v>672</v>
      </c>
      <c r="I16" s="104">
        <f>IFERROR(VLOOKUP($B16,NMBS_abonnementen!$G$7:$M$156,7,FALSE)*$BB$23,"-")</f>
        <v>632</v>
      </c>
      <c r="J16" s="104" t="str">
        <f>IFERROR(VLOOKUP($B16,NMBS_abonnementen!$G$7:$Q$156,11,FALSE),"-")</f>
        <v xml:space="preserve"> 563,00</v>
      </c>
      <c r="K16" s="104">
        <f>VLOOKUP($B16,NMBS_ticketten!$G$6:$I$155,3,FALSE)*$B$5*$E$5</f>
        <v>540</v>
      </c>
      <c r="L16" s="101" t="str">
        <f t="shared" si="0"/>
        <v/>
      </c>
      <c r="M16" s="101">
        <f t="shared" si="1"/>
        <v>2203.2000000000003</v>
      </c>
      <c r="N16" s="103">
        <f t="shared" si="2"/>
        <v>669.6</v>
      </c>
      <c r="O16" s="174"/>
      <c r="P16" s="269">
        <f t="shared" si="3"/>
        <v>440</v>
      </c>
      <c r="Q16" s="270">
        <f t="shared" si="4"/>
        <v>440</v>
      </c>
      <c r="R16" s="208">
        <f>IFERROR(VLOOKUP($B16,NMBS_abonnementen!$G$7:$J$156,4,FALSE)*$CS$11,"-")</f>
        <v>1212</v>
      </c>
      <c r="S16" s="209">
        <f t="shared" si="5"/>
        <v>772</v>
      </c>
      <c r="T16" s="208">
        <f>IFERROR(VLOOKUP($B16,NMBS_abonnementen!$G$7:$N$156,8,FALSE)*$CS$12,"-")</f>
        <v>1104</v>
      </c>
      <c r="U16" s="209">
        <f t="shared" si="6"/>
        <v>664</v>
      </c>
      <c r="V16" s="210">
        <f>IFERROR(VLOOKUP($B16,NMBS_abonnementen!$G$7:$R$156,12,FALSE)*$CS$13,"-")</f>
        <v>862</v>
      </c>
      <c r="W16" s="209">
        <f t="shared" si="7"/>
        <v>422</v>
      </c>
      <c r="X16" s="208">
        <f>IFERROR(VLOOKUP($B16,NMBS_abonnementen!$G$7:$K$156,5,FALSE)*$CS$18,"-")</f>
        <v>1020</v>
      </c>
      <c r="Y16" s="209">
        <f t="shared" si="8"/>
        <v>580</v>
      </c>
      <c r="Z16" s="208">
        <f>IFERROR(VLOOKUP($B16,NMBS_abonnementen!$G$7:$O$156,9,FALSE)*$CS$19,"-")</f>
        <v>900</v>
      </c>
      <c r="AA16" s="209">
        <f t="shared" si="9"/>
        <v>460</v>
      </c>
      <c r="AB16" s="210">
        <f>IFERROR(VLOOKUP($B16,NMBS_abonnementen!$G$7:$S$156,13,FALSE),"-")</f>
        <v>738</v>
      </c>
      <c r="AC16" s="198">
        <f t="shared" si="17"/>
        <v>720</v>
      </c>
      <c r="AD16" s="198">
        <f t="shared" si="10"/>
        <v>50.399999999999977</v>
      </c>
      <c r="AE16" s="198">
        <f t="shared" si="11"/>
        <v>484</v>
      </c>
      <c r="AF16" s="198">
        <f t="shared" si="12"/>
        <v>-236</v>
      </c>
      <c r="AH16" s="198">
        <f t="shared" si="13"/>
        <v>669.6</v>
      </c>
      <c r="AI16" s="198">
        <f t="shared" si="14"/>
        <v>185.60000000000002</v>
      </c>
      <c r="AJ16" s="198">
        <f t="shared" si="15"/>
        <v>669.6</v>
      </c>
      <c r="AK16" s="198">
        <f t="shared" si="16"/>
        <v>0</v>
      </c>
      <c r="AL16" s="179"/>
      <c r="AM16" s="175"/>
      <c r="AN16" s="175"/>
      <c r="AR16" s="173"/>
      <c r="AS16" s="173"/>
      <c r="AT16" s="173"/>
      <c r="AU16" s="173"/>
      <c r="AV16" s="173"/>
      <c r="AW16" s="173"/>
      <c r="AX16" s="173"/>
      <c r="AY16" s="173"/>
      <c r="BA16" s="173"/>
      <c r="BB16" s="173"/>
      <c r="BC16" s="173"/>
      <c r="BD16" s="173"/>
      <c r="BE16" s="173"/>
      <c r="BF16" s="215"/>
      <c r="BG16" s="216">
        <v>12</v>
      </c>
      <c r="BH16" s="217">
        <v>60</v>
      </c>
      <c r="BI16" s="218">
        <f>BG16*BH16</f>
        <v>720</v>
      </c>
      <c r="BN16" s="224">
        <v>4</v>
      </c>
      <c r="BO16" s="225">
        <f>BN16*$E$5</f>
        <v>180</v>
      </c>
      <c r="BP16" s="226">
        <v>2</v>
      </c>
      <c r="BQ16" s="226">
        <f>BP16*BO16</f>
        <v>360</v>
      </c>
      <c r="BR16" s="227">
        <f>BQ16*$BN$11</f>
        <v>864</v>
      </c>
      <c r="BT16" s="224">
        <v>4</v>
      </c>
      <c r="BU16" s="225">
        <f>BT16*$E$5</f>
        <v>180</v>
      </c>
      <c r="BV16" s="226">
        <v>2</v>
      </c>
      <c r="BW16" s="226">
        <f>BV16*BU16</f>
        <v>360</v>
      </c>
      <c r="BX16" s="227">
        <f>BW16*$BT$11</f>
        <v>1080</v>
      </c>
      <c r="BY16" s="181"/>
      <c r="BZ16" s="224">
        <v>4</v>
      </c>
      <c r="CA16" s="225">
        <f>BZ16*$E$5</f>
        <v>180</v>
      </c>
      <c r="CB16" s="226">
        <v>12</v>
      </c>
      <c r="CC16" s="226">
        <f>CB16*$BZ$11</f>
        <v>3948</v>
      </c>
      <c r="CD16" s="227">
        <f>CC16</f>
        <v>3948</v>
      </c>
      <c r="CF16" s="224">
        <v>4</v>
      </c>
      <c r="CG16" s="225">
        <f>CF16*$E$5</f>
        <v>180</v>
      </c>
      <c r="CH16" s="226">
        <v>2</v>
      </c>
      <c r="CI16" s="226">
        <f>CH16*CG16</f>
        <v>360</v>
      </c>
      <c r="CJ16" s="227">
        <f>CI16*$CF$11</f>
        <v>2376</v>
      </c>
      <c r="CL16" s="224">
        <v>4</v>
      </c>
      <c r="CM16" s="225">
        <f>CL16*$E$5</f>
        <v>180</v>
      </c>
      <c r="CN16" s="226">
        <v>12</v>
      </c>
      <c r="CO16" s="226">
        <f>CN16*$BZ$11</f>
        <v>3948</v>
      </c>
      <c r="CP16" s="227">
        <f>CO16</f>
        <v>3948</v>
      </c>
      <c r="CR16" s="307"/>
      <c r="CS16" s="301"/>
      <c r="CT16" s="305"/>
    </row>
    <row r="17" spans="2:98" ht="12" customHeight="1">
      <c r="B17" s="110">
        <v>7</v>
      </c>
      <c r="C17" s="102">
        <f>NMBS_flexabo!$C11*$AR$15</f>
        <v>531</v>
      </c>
      <c r="D17" s="102">
        <f>NMBS_flexabo!$D11*$AR$22</f>
        <v>467.5</v>
      </c>
      <c r="E17" s="102">
        <f>NMBS_flexabo!$E11*VLOOKUP($B$5,$AS$43:$AY$43,7,FALSE)</f>
        <v>499.50000000000006</v>
      </c>
      <c r="F17" s="102">
        <f>NMBS_flexabo!$F11*VLOOKUP($B$5,$AS$45:$AY$48,7,FALSE)</f>
        <v>490</v>
      </c>
      <c r="G17" s="104">
        <f>IFERROR(VLOOKUP($B17,NMBS_abonnementen!$G$7:$H$156,2,FALSE),"-")*VLOOKUP($B$5,NMBS_halftijds!$P$4:$Q$44,2)</f>
        <v>494.92684800000001</v>
      </c>
      <c r="H17" s="104">
        <f>IFERROR(VLOOKUP($B17,NMBS_abonnementen!$G$7:$I$156,3,FALSE)*$BB$22,"-")</f>
        <v>720</v>
      </c>
      <c r="I17" s="104">
        <f>IFERROR(VLOOKUP($B17,NMBS_abonnementen!$G$7:$M$156,7,FALSE)*$BB$23,"-")</f>
        <v>668</v>
      </c>
      <c r="J17" s="104" t="str">
        <f>IFERROR(VLOOKUP($B17,NMBS_abonnementen!$G$7:$Q$156,11,FALSE),"-")</f>
        <v xml:space="preserve"> 597,00</v>
      </c>
      <c r="K17" s="104">
        <f>VLOOKUP($B17,NMBS_ticketten!$G$6:$I$155,3,FALSE)*$B$5*$E$5</f>
        <v>540</v>
      </c>
      <c r="L17" s="101" t="str">
        <f t="shared" si="0"/>
        <v/>
      </c>
      <c r="M17" s="101">
        <f t="shared" si="1"/>
        <v>2203.2000000000003</v>
      </c>
      <c r="N17" s="103">
        <f t="shared" si="2"/>
        <v>669.6</v>
      </c>
      <c r="O17" s="174"/>
      <c r="P17" s="269">
        <f t="shared" si="3"/>
        <v>467.5</v>
      </c>
      <c r="Q17" s="270">
        <f t="shared" si="4"/>
        <v>467.5</v>
      </c>
      <c r="R17" s="208">
        <f>IFERROR(VLOOKUP($B17,NMBS_abonnementen!$G$7:$J$156,4,FALSE)*$CS$11,"-")</f>
        <v>1260</v>
      </c>
      <c r="S17" s="209">
        <f t="shared" si="5"/>
        <v>792.5</v>
      </c>
      <c r="T17" s="208">
        <f>IFERROR(VLOOKUP($B17,NMBS_abonnementen!$G$7:$N$156,8,FALSE)*$CS$12,"-")</f>
        <v>1140</v>
      </c>
      <c r="U17" s="209">
        <f t="shared" si="6"/>
        <v>672.5</v>
      </c>
      <c r="V17" s="210">
        <f>IFERROR(VLOOKUP($B17,NMBS_abonnementen!$G$7:$R$156,12,FALSE)*$CS$13,"-")</f>
        <v>896</v>
      </c>
      <c r="W17" s="209">
        <f t="shared" si="7"/>
        <v>428.5</v>
      </c>
      <c r="X17" s="208">
        <f>IFERROR(VLOOKUP($B17,NMBS_abonnementen!$G$7:$K$156,5,FALSE)*$CS$18,"-")</f>
        <v>1068</v>
      </c>
      <c r="Y17" s="209">
        <f t="shared" si="8"/>
        <v>600.5</v>
      </c>
      <c r="Z17" s="208">
        <f>IFERROR(VLOOKUP($B17,NMBS_abonnementen!$G$7:$O$156,9,FALSE)*$CS$19,"-")</f>
        <v>936</v>
      </c>
      <c r="AA17" s="209">
        <f t="shared" si="9"/>
        <v>468.5</v>
      </c>
      <c r="AB17" s="210">
        <f>IFERROR(VLOOKUP($B17,NMBS_abonnementen!$G$7:$S$156,13,FALSE),"-")</f>
        <v>772</v>
      </c>
      <c r="AC17" s="198">
        <f t="shared" si="17"/>
        <v>720</v>
      </c>
      <c r="AD17" s="198">
        <f t="shared" si="10"/>
        <v>50.399999999999977</v>
      </c>
      <c r="AE17" s="198">
        <f t="shared" si="11"/>
        <v>484</v>
      </c>
      <c r="AF17" s="198">
        <f t="shared" si="12"/>
        <v>-236</v>
      </c>
      <c r="AH17" s="198">
        <f t="shared" si="13"/>
        <v>669.6</v>
      </c>
      <c r="AI17" s="198">
        <f t="shared" si="14"/>
        <v>185.60000000000002</v>
      </c>
      <c r="AJ17" s="198">
        <f t="shared" si="15"/>
        <v>669.6</v>
      </c>
      <c r="AK17" s="198">
        <f t="shared" si="16"/>
        <v>0</v>
      </c>
      <c r="AL17" s="179"/>
      <c r="AM17" s="175"/>
      <c r="AN17" s="175"/>
      <c r="AR17" s="173"/>
      <c r="AS17" s="173"/>
      <c r="AT17" s="173"/>
      <c r="AU17" s="173"/>
      <c r="AV17" s="173"/>
      <c r="AW17" s="173"/>
      <c r="AX17" s="173"/>
      <c r="AY17" s="173"/>
      <c r="BA17" s="173"/>
      <c r="BB17" s="173"/>
      <c r="BC17" s="173"/>
      <c r="BD17" s="173"/>
      <c r="BE17" s="173"/>
      <c r="BG17" s="222">
        <v>1</v>
      </c>
      <c r="BH17" s="217">
        <v>484</v>
      </c>
      <c r="BI17" s="223">
        <f>BH17*BG17</f>
        <v>484</v>
      </c>
      <c r="BN17" s="239">
        <v>5</v>
      </c>
      <c r="BO17" s="240">
        <f>BN17*$E$5</f>
        <v>225</v>
      </c>
      <c r="BP17" s="226">
        <v>2</v>
      </c>
      <c r="BQ17" s="226">
        <f>BP17*BO17</f>
        <v>450</v>
      </c>
      <c r="BR17" s="227">
        <f>BQ17*$BN$11</f>
        <v>1080</v>
      </c>
      <c r="BT17" s="239">
        <v>5</v>
      </c>
      <c r="BU17" s="240">
        <f>BT17*$E$5</f>
        <v>225</v>
      </c>
      <c r="BV17" s="226">
        <v>2</v>
      </c>
      <c r="BW17" s="226">
        <f>BV17*BU17</f>
        <v>450</v>
      </c>
      <c r="BX17" s="227">
        <f>BW17*$BT$11</f>
        <v>1350</v>
      </c>
      <c r="BY17" s="181"/>
      <c r="BZ17" s="239">
        <v>5</v>
      </c>
      <c r="CA17" s="240">
        <f>BZ17*$E$5</f>
        <v>225</v>
      </c>
      <c r="CB17" s="226">
        <v>12</v>
      </c>
      <c r="CC17" s="226">
        <f>CB17*$BZ$11</f>
        <v>3948</v>
      </c>
      <c r="CD17" s="227">
        <f>CC17</f>
        <v>3948</v>
      </c>
      <c r="CF17" s="239">
        <v>5</v>
      </c>
      <c r="CG17" s="240">
        <f>CF17*$E$5</f>
        <v>225</v>
      </c>
      <c r="CH17" s="226">
        <v>2</v>
      </c>
      <c r="CI17" s="226">
        <f>CH17*CG17</f>
        <v>450</v>
      </c>
      <c r="CJ17" s="227">
        <f>CI17*$CF$11</f>
        <v>2970</v>
      </c>
      <c r="CL17" s="239">
        <v>5</v>
      </c>
      <c r="CM17" s="240">
        <f>CL17*$E$5</f>
        <v>225</v>
      </c>
      <c r="CN17" s="226">
        <v>12</v>
      </c>
      <c r="CO17" s="226">
        <f>CN17*$BZ$11</f>
        <v>3948</v>
      </c>
      <c r="CP17" s="227">
        <f>CO17</f>
        <v>3948</v>
      </c>
      <c r="CR17" s="307"/>
      <c r="CS17" s="301"/>
      <c r="CT17" s="305"/>
    </row>
    <row r="18" spans="2:98" ht="12" customHeight="1">
      <c r="B18" s="110">
        <v>8</v>
      </c>
      <c r="C18" s="102">
        <f>NMBS_flexabo!$C12*$AR$15</f>
        <v>558</v>
      </c>
      <c r="D18" s="102">
        <f>NMBS_flexabo!$D12*$AR$22</f>
        <v>495</v>
      </c>
      <c r="E18" s="102">
        <f>NMBS_flexabo!$E12*VLOOKUP($B$5,$AS$43:$AY$43,7,FALSE)</f>
        <v>527.85</v>
      </c>
      <c r="F18" s="102">
        <f>NMBS_flexabo!$F12*VLOOKUP($B$5,$AS$45:$AY$48,7,FALSE)</f>
        <v>517</v>
      </c>
      <c r="G18" s="104">
        <f>IFERROR(VLOOKUP($B18,NMBS_abonnementen!$G$7:$H$156,2,FALSE),"-")*VLOOKUP($B$5,NMBS_halftijds!$P$4:$Q$44,2)</f>
        <v>521.61408000000006</v>
      </c>
      <c r="H18" s="104">
        <f>IFERROR(VLOOKUP($B18,NMBS_abonnementen!$G$7:$I$156,3,FALSE)*$BB$22,"-")</f>
        <v>756</v>
      </c>
      <c r="I18" s="104">
        <f>IFERROR(VLOOKUP($B18,NMBS_abonnementen!$G$7:$M$156,7,FALSE)*$BB$23,"-")</f>
        <v>708</v>
      </c>
      <c r="J18" s="104" t="str">
        <f>IFERROR(VLOOKUP($B18,NMBS_abonnementen!$G$7:$Q$156,11,FALSE),"-")</f>
        <v xml:space="preserve"> 631,00</v>
      </c>
      <c r="K18" s="104">
        <f>VLOOKUP($B18,NMBS_ticketten!$G$6:$I$155,3,FALSE)*$B$5*$E$5</f>
        <v>561.6</v>
      </c>
      <c r="L18" s="101" t="str">
        <f t="shared" si="0"/>
        <v/>
      </c>
      <c r="M18" s="101">
        <f t="shared" si="1"/>
        <v>2203.2000000000003</v>
      </c>
      <c r="N18" s="103">
        <f t="shared" si="2"/>
        <v>669.6</v>
      </c>
      <c r="O18" s="174"/>
      <c r="P18" s="269">
        <f t="shared" si="3"/>
        <v>495</v>
      </c>
      <c r="Q18" s="270">
        <f t="shared" si="4"/>
        <v>495</v>
      </c>
      <c r="R18" s="208">
        <f>IFERROR(VLOOKUP($B18,NMBS_abonnementen!$G$7:$J$156,4,FALSE)*$CS$11,"-")</f>
        <v>1296</v>
      </c>
      <c r="S18" s="209">
        <f t="shared" si="5"/>
        <v>801</v>
      </c>
      <c r="T18" s="208">
        <f>IFERROR(VLOOKUP($B18,NMBS_abonnementen!$G$7:$N$156,8,FALSE)*$CS$12,"-")</f>
        <v>1180</v>
      </c>
      <c r="U18" s="209">
        <f t="shared" si="6"/>
        <v>685</v>
      </c>
      <c r="V18" s="210">
        <f>IFERROR(VLOOKUP($B18,NMBS_abonnementen!$G$7:$R$156,12,FALSE)*$CS$13,"-")</f>
        <v>930</v>
      </c>
      <c r="W18" s="209">
        <f t="shared" si="7"/>
        <v>435</v>
      </c>
      <c r="X18" s="208">
        <f>IFERROR(VLOOKUP($B18,NMBS_abonnementen!$G$7:$K$156,5,FALSE)*$CS$18,"-")</f>
        <v>1104</v>
      </c>
      <c r="Y18" s="209">
        <f t="shared" si="8"/>
        <v>609</v>
      </c>
      <c r="Z18" s="208">
        <f>IFERROR(VLOOKUP($B18,NMBS_abonnementen!$G$7:$O$156,9,FALSE)*$CS$19,"-")</f>
        <v>976</v>
      </c>
      <c r="AA18" s="209">
        <f t="shared" si="9"/>
        <v>481</v>
      </c>
      <c r="AB18" s="210">
        <f>IFERROR(VLOOKUP($B18,NMBS_abonnementen!$G$7:$S$156,13,FALSE),"-")</f>
        <v>806</v>
      </c>
      <c r="AC18" s="198">
        <f t="shared" si="17"/>
        <v>720</v>
      </c>
      <c r="AD18" s="198">
        <f t="shared" si="10"/>
        <v>50.399999999999977</v>
      </c>
      <c r="AE18" s="198">
        <f t="shared" si="11"/>
        <v>484</v>
      </c>
      <c r="AF18" s="198">
        <f t="shared" si="12"/>
        <v>-236</v>
      </c>
      <c r="AH18" s="198">
        <f t="shared" si="13"/>
        <v>669.6</v>
      </c>
      <c r="AI18" s="198">
        <f t="shared" si="14"/>
        <v>185.60000000000002</v>
      </c>
      <c r="AJ18" s="198">
        <f t="shared" si="15"/>
        <v>669.6</v>
      </c>
      <c r="AK18" s="198">
        <f t="shared" si="16"/>
        <v>0</v>
      </c>
      <c r="AL18" s="179"/>
      <c r="AM18" s="175"/>
      <c r="AN18" s="175"/>
      <c r="AR18" s="173"/>
      <c r="AS18" s="173"/>
      <c r="AT18" s="173"/>
      <c r="AU18" s="173"/>
      <c r="AV18" s="173"/>
      <c r="AW18" s="173"/>
      <c r="AX18" s="173"/>
      <c r="AY18" s="173"/>
      <c r="BA18" s="173"/>
      <c r="BB18" s="173"/>
      <c r="BC18" s="173"/>
      <c r="BD18" s="173"/>
      <c r="BE18" s="173"/>
      <c r="BN18" s="182"/>
      <c r="BO18" s="182"/>
      <c r="BY18" s="181"/>
      <c r="BZ18" s="181"/>
      <c r="CR18" s="205">
        <v>1</v>
      </c>
      <c r="CS18" s="206">
        <v>12</v>
      </c>
      <c r="CT18" s="207">
        <v>29</v>
      </c>
    </row>
    <row r="19" spans="2:98" ht="12" customHeight="1">
      <c r="B19" s="110">
        <v>9</v>
      </c>
      <c r="C19" s="102">
        <f>NMBS_flexabo!$C13*$AR$15</f>
        <v>585</v>
      </c>
      <c r="D19" s="102">
        <f>NMBS_flexabo!$D13*$AR$22</f>
        <v>517</v>
      </c>
      <c r="E19" s="102">
        <f>NMBS_flexabo!$E13*VLOOKUP($B$5,$AS$43:$AY$43,7,FALSE)</f>
        <v>556.20000000000005</v>
      </c>
      <c r="F19" s="102">
        <f>NMBS_flexabo!$F13*VLOOKUP($B$5,$AS$45:$AY$48,7,FALSE)</f>
        <v>545</v>
      </c>
      <c r="G19" s="104">
        <f>IFERROR(VLOOKUP($B19,NMBS_abonnementen!$G$7:$H$156,2,FALSE),"-")*VLOOKUP($B$5,NMBS_halftijds!$P$4:$Q$44,2)</f>
        <v>550.72742400000004</v>
      </c>
      <c r="H19" s="104">
        <f>IFERROR(VLOOKUP($B19,NMBS_abonnementen!$G$7:$I$156,3,FALSE)*$BB$22,"-")</f>
        <v>792</v>
      </c>
      <c r="I19" s="104">
        <f>IFERROR(VLOOKUP($B19,NMBS_abonnementen!$G$7:$M$156,7,FALSE)*$BB$23,"-")</f>
        <v>744</v>
      </c>
      <c r="J19" s="104" t="str">
        <f>IFERROR(VLOOKUP($B19,NMBS_abonnementen!$G$7:$Q$156,11,FALSE),"-")</f>
        <v xml:space="preserve"> 665,00</v>
      </c>
      <c r="K19" s="104">
        <f>VLOOKUP($B19,NMBS_ticketten!$G$6:$I$155,3,FALSE)*$B$5*$E$5</f>
        <v>604.79999999999995</v>
      </c>
      <c r="L19" s="101" t="str">
        <f t="shared" si="0"/>
        <v/>
      </c>
      <c r="M19" s="101">
        <f t="shared" si="1"/>
        <v>2203.2000000000003</v>
      </c>
      <c r="N19" s="103">
        <f t="shared" si="2"/>
        <v>669.6</v>
      </c>
      <c r="O19" s="174"/>
      <c r="P19" s="269">
        <f t="shared" si="3"/>
        <v>517</v>
      </c>
      <c r="Q19" s="270">
        <f t="shared" si="4"/>
        <v>517</v>
      </c>
      <c r="R19" s="208">
        <f>IFERROR(VLOOKUP($B19,NMBS_abonnementen!$G$7:$J$156,4,FALSE)*$CS$11,"-")</f>
        <v>1332</v>
      </c>
      <c r="S19" s="209">
        <f t="shared" si="5"/>
        <v>815</v>
      </c>
      <c r="T19" s="208">
        <f>IFERROR(VLOOKUP($B19,NMBS_abonnementen!$G$7:$N$156,8,FALSE)*$CS$12,"-")</f>
        <v>1216</v>
      </c>
      <c r="U19" s="209">
        <f t="shared" si="6"/>
        <v>699</v>
      </c>
      <c r="V19" s="210">
        <f>IFERROR(VLOOKUP($B19,NMBS_abonnementen!$G$7:$R$156,12,FALSE)*$CS$13,"-")</f>
        <v>964</v>
      </c>
      <c r="W19" s="209">
        <f t="shared" si="7"/>
        <v>447</v>
      </c>
      <c r="X19" s="208">
        <f>IFERROR(VLOOKUP($B19,NMBS_abonnementen!$G$7:$K$156,5,FALSE)*$CS$18,"-")</f>
        <v>1140</v>
      </c>
      <c r="Y19" s="209">
        <f t="shared" si="8"/>
        <v>623</v>
      </c>
      <c r="Z19" s="208">
        <f>IFERROR(VLOOKUP($B19,NMBS_abonnementen!$G$7:$O$156,9,FALSE)*$CS$19,"-")</f>
        <v>1012</v>
      </c>
      <c r="AA19" s="209">
        <f t="shared" si="9"/>
        <v>495</v>
      </c>
      <c r="AB19" s="210">
        <f>IFERROR(VLOOKUP($B19,NMBS_abonnementen!$G$7:$S$156,13,FALSE),"-")</f>
        <v>840</v>
      </c>
      <c r="AC19" s="198">
        <f t="shared" si="17"/>
        <v>720</v>
      </c>
      <c r="AD19" s="198">
        <f t="shared" si="10"/>
        <v>50.399999999999977</v>
      </c>
      <c r="AE19" s="198">
        <f t="shared" si="11"/>
        <v>484</v>
      </c>
      <c r="AF19" s="198">
        <f t="shared" si="12"/>
        <v>-236</v>
      </c>
      <c r="AH19" s="198">
        <f t="shared" si="13"/>
        <v>669.6</v>
      </c>
      <c r="AI19" s="198">
        <f t="shared" si="14"/>
        <v>185.60000000000002</v>
      </c>
      <c r="AJ19" s="198">
        <f t="shared" si="15"/>
        <v>669.6</v>
      </c>
      <c r="AK19" s="198">
        <f t="shared" si="16"/>
        <v>0</v>
      </c>
      <c r="AL19" s="179"/>
      <c r="AM19" s="175"/>
      <c r="AN19" s="211">
        <v>10</v>
      </c>
      <c r="AO19" s="212"/>
      <c r="AP19" s="212"/>
      <c r="AQ19" s="212"/>
      <c r="AR19" s="212"/>
      <c r="AT19" s="213">
        <v>10</v>
      </c>
      <c r="AU19" s="214"/>
      <c r="AV19" s="214"/>
      <c r="AW19" s="214"/>
      <c r="AX19" s="214"/>
      <c r="AY19" s="181"/>
      <c r="BN19" s="319" t="s">
        <v>59</v>
      </c>
      <c r="BO19" s="317"/>
      <c r="BP19" s="317"/>
      <c r="BQ19" s="317"/>
      <c r="BR19" s="318"/>
      <c r="BT19" s="319" t="s">
        <v>60</v>
      </c>
      <c r="BU19" s="317"/>
      <c r="BV19" s="317"/>
      <c r="BW19" s="317"/>
      <c r="BX19" s="318"/>
      <c r="BY19" s="181"/>
      <c r="BZ19" s="316" t="s">
        <v>61</v>
      </c>
      <c r="CA19" s="317"/>
      <c r="CB19" s="317"/>
      <c r="CC19" s="317"/>
      <c r="CD19" s="318"/>
      <c r="CF19" s="319" t="s">
        <v>62</v>
      </c>
      <c r="CG19" s="317"/>
      <c r="CH19" s="317"/>
      <c r="CI19" s="317"/>
      <c r="CJ19" s="318"/>
      <c r="CL19" s="316" t="s">
        <v>63</v>
      </c>
      <c r="CM19" s="317"/>
      <c r="CN19" s="317"/>
      <c r="CO19" s="317"/>
      <c r="CP19" s="318"/>
      <c r="CR19" s="219">
        <v>3</v>
      </c>
      <c r="CS19" s="220">
        <v>4</v>
      </c>
      <c r="CT19" s="221">
        <v>67</v>
      </c>
    </row>
    <row r="20" spans="2:98" ht="12" customHeight="1">
      <c r="B20" s="110">
        <v>10</v>
      </c>
      <c r="C20" s="102">
        <f>NMBS_flexabo!$C14*$AR$15</f>
        <v>612</v>
      </c>
      <c r="D20" s="102">
        <f>NMBS_flexabo!$D14*$AR$22</f>
        <v>544.5</v>
      </c>
      <c r="E20" s="102">
        <f>NMBS_flexabo!$E14*VLOOKUP($B$5,$AS$43:$AY$43,7,FALSE)</f>
        <v>584.55000000000007</v>
      </c>
      <c r="F20" s="102">
        <f>NMBS_flexabo!$F14*VLOOKUP($B$5,$AS$45:$AY$48,7,FALSE)</f>
        <v>573</v>
      </c>
      <c r="G20" s="104">
        <f>IFERROR(VLOOKUP($B20,NMBS_abonnementen!$G$7:$H$156,2,FALSE),"-")*VLOOKUP($B$5,NMBS_halftijds!$P$4:$Q$44,2)</f>
        <v>577.41465600000004</v>
      </c>
      <c r="H20" s="104">
        <f>IFERROR(VLOOKUP($B20,NMBS_abonnementen!$G$7:$I$156,3,FALSE)*$BB$22,"-")</f>
        <v>840</v>
      </c>
      <c r="I20" s="104">
        <f>IFERROR(VLOOKUP($B20,NMBS_abonnementen!$G$7:$M$156,7,FALSE)*$BB$23,"-")</f>
        <v>784</v>
      </c>
      <c r="J20" s="104" t="str">
        <f>IFERROR(VLOOKUP($B20,NMBS_abonnementen!$G$7:$Q$156,11,FALSE),"-")</f>
        <v xml:space="preserve"> 699,00</v>
      </c>
      <c r="K20" s="104">
        <f>VLOOKUP($B20,NMBS_ticketten!$G$6:$I$155,3,FALSE)*$B$5*$E$5</f>
        <v>647.99999999999989</v>
      </c>
      <c r="L20" s="101" t="str">
        <f t="shared" si="0"/>
        <v/>
      </c>
      <c r="M20" s="101">
        <f t="shared" si="1"/>
        <v>2203.2000000000003</v>
      </c>
      <c r="N20" s="103">
        <f t="shared" si="2"/>
        <v>669.6</v>
      </c>
      <c r="O20" s="174"/>
      <c r="P20" s="269">
        <f t="shared" si="3"/>
        <v>544.5</v>
      </c>
      <c r="Q20" s="270">
        <f t="shared" si="4"/>
        <v>544.5</v>
      </c>
      <c r="R20" s="208">
        <f>IFERROR(VLOOKUP($B20,NMBS_abonnementen!$G$7:$J$156,4,FALSE)*$CS$11,"-")</f>
        <v>1380</v>
      </c>
      <c r="S20" s="209">
        <f t="shared" si="5"/>
        <v>835.5</v>
      </c>
      <c r="T20" s="208">
        <f>IFERROR(VLOOKUP($B20,NMBS_abonnementen!$G$7:$N$156,8,FALSE)*$CS$12,"-")</f>
        <v>1256</v>
      </c>
      <c r="U20" s="209">
        <f t="shared" si="6"/>
        <v>711.5</v>
      </c>
      <c r="V20" s="210">
        <f>IFERROR(VLOOKUP($B20,NMBS_abonnementen!$G$7:$R$156,12,FALSE)*$CS$13,"-")</f>
        <v>998</v>
      </c>
      <c r="W20" s="209">
        <f t="shared" si="7"/>
        <v>453.5</v>
      </c>
      <c r="X20" s="208">
        <f>IFERROR(VLOOKUP($B20,NMBS_abonnementen!$G$7:$K$156,5,FALSE)*$CS$18,"-")</f>
        <v>1188</v>
      </c>
      <c r="Y20" s="209">
        <f t="shared" si="8"/>
        <v>643.5</v>
      </c>
      <c r="Z20" s="208">
        <f>IFERROR(VLOOKUP($B20,NMBS_abonnementen!$G$7:$O$156,9,FALSE)*$CS$19,"-")</f>
        <v>1052</v>
      </c>
      <c r="AA20" s="209">
        <f t="shared" si="9"/>
        <v>507.5</v>
      </c>
      <c r="AB20" s="210">
        <f>IFERROR(VLOOKUP($B20,NMBS_abonnementen!$G$7:$S$156,13,FALSE),"-")</f>
        <v>874</v>
      </c>
      <c r="AC20" s="198">
        <f t="shared" si="17"/>
        <v>720</v>
      </c>
      <c r="AD20" s="198">
        <f t="shared" si="10"/>
        <v>50.399999999999977</v>
      </c>
      <c r="AE20" s="198">
        <f t="shared" si="11"/>
        <v>484</v>
      </c>
      <c r="AF20" s="198">
        <f t="shared" si="12"/>
        <v>-236</v>
      </c>
      <c r="AH20" s="198">
        <f t="shared" si="13"/>
        <v>669.6</v>
      </c>
      <c r="AI20" s="198">
        <f t="shared" si="14"/>
        <v>185.60000000000002</v>
      </c>
      <c r="AJ20" s="198">
        <f t="shared" si="15"/>
        <v>669.6</v>
      </c>
      <c r="AK20" s="198">
        <f t="shared" si="16"/>
        <v>0</v>
      </c>
      <c r="AL20" s="179"/>
      <c r="AM20" s="175"/>
      <c r="AN20" s="288" t="s">
        <v>50</v>
      </c>
      <c r="AO20" s="290" t="s">
        <v>51</v>
      </c>
      <c r="AP20" s="290" t="s">
        <v>52</v>
      </c>
      <c r="AQ20" s="290" t="s">
        <v>53</v>
      </c>
      <c r="AR20" s="302" t="s">
        <v>54</v>
      </c>
      <c r="AT20" s="306" t="s">
        <v>50</v>
      </c>
      <c r="AU20" s="300" t="s">
        <v>51</v>
      </c>
      <c r="AV20" s="300" t="s">
        <v>52</v>
      </c>
      <c r="AW20" s="300" t="s">
        <v>53</v>
      </c>
      <c r="AX20" s="304" t="s">
        <v>54</v>
      </c>
      <c r="AY20" s="181"/>
      <c r="BN20" s="200">
        <v>15</v>
      </c>
      <c r="BO20" s="201"/>
      <c r="BP20" s="201">
        <v>10</v>
      </c>
      <c r="BQ20" s="201"/>
      <c r="BR20" s="202"/>
      <c r="BT20" s="200">
        <v>20</v>
      </c>
      <c r="BU20" s="201"/>
      <c r="BV20" s="201">
        <v>10</v>
      </c>
      <c r="BW20" s="201"/>
      <c r="BX20" s="202"/>
      <c r="BY20" s="181"/>
      <c r="BZ20" s="200">
        <v>920</v>
      </c>
      <c r="CA20" s="201"/>
      <c r="CB20" s="201">
        <v>4</v>
      </c>
      <c r="CC20" s="201"/>
      <c r="CD20" s="202"/>
      <c r="CF20" s="200">
        <v>18</v>
      </c>
      <c r="CG20" s="201"/>
      <c r="CH20" s="201" t="s">
        <v>64</v>
      </c>
      <c r="CI20" s="201"/>
      <c r="CJ20" s="202"/>
      <c r="CL20" s="200"/>
      <c r="CM20" s="204" t="s">
        <v>48</v>
      </c>
      <c r="CN20" s="201"/>
      <c r="CO20" s="201"/>
      <c r="CP20" s="202"/>
      <c r="CR20" s="219">
        <v>12</v>
      </c>
      <c r="CS20" s="228">
        <v>1</v>
      </c>
      <c r="CT20" s="229">
        <v>175</v>
      </c>
    </row>
    <row r="21" spans="2:98" ht="12" customHeight="1">
      <c r="B21" s="110">
        <v>11</v>
      </c>
      <c r="C21" s="102">
        <f>NMBS_flexabo!$C15*$AR$15</f>
        <v>648</v>
      </c>
      <c r="D21" s="102">
        <f>NMBS_flexabo!$D15*$AR$22</f>
        <v>572</v>
      </c>
      <c r="E21" s="102">
        <f>NMBS_flexabo!$E15*VLOOKUP($B$5,$AS$43:$AY$43,7,FALSE)</f>
        <v>612.90000000000009</v>
      </c>
      <c r="F21" s="102">
        <f>NMBS_flexabo!$F15*VLOOKUP($B$5,$AS$45:$AY$48,7,FALSE)</f>
        <v>601</v>
      </c>
      <c r="G21" s="104">
        <f>IFERROR(VLOOKUP($B21,NMBS_abonnementen!$G$7:$H$156,2,FALSE),"-")*VLOOKUP($B$5,NMBS_halftijds!$P$4:$Q$44,2)</f>
        <v>606.52800000000002</v>
      </c>
      <c r="H21" s="104">
        <f>IFERROR(VLOOKUP($B21,NMBS_abonnementen!$G$7:$I$156,3,FALSE)*$BB$22,"-")</f>
        <v>876</v>
      </c>
      <c r="I21" s="104">
        <f>IFERROR(VLOOKUP($B21,NMBS_abonnementen!$G$7:$M$156,7,FALSE)*$BB$23,"-")</f>
        <v>820</v>
      </c>
      <c r="J21" s="104" t="str">
        <f>IFERROR(VLOOKUP($B21,NMBS_abonnementen!$G$7:$Q$156,11,FALSE),"-")</f>
        <v xml:space="preserve"> 732,00</v>
      </c>
      <c r="K21" s="104">
        <f>VLOOKUP($B21,NMBS_ticketten!$G$6:$I$155,3,FALSE)*$B$5*$E$5</f>
        <v>669.59999999999991</v>
      </c>
      <c r="L21" s="101" t="str">
        <f t="shared" si="0"/>
        <v/>
      </c>
      <c r="M21" s="101">
        <f t="shared" si="1"/>
        <v>2203.2000000000003</v>
      </c>
      <c r="N21" s="103">
        <f t="shared" si="2"/>
        <v>669.6</v>
      </c>
      <c r="O21" s="174"/>
      <c r="P21" s="269">
        <f t="shared" si="3"/>
        <v>572</v>
      </c>
      <c r="Q21" s="270">
        <f t="shared" si="4"/>
        <v>572</v>
      </c>
      <c r="R21" s="208">
        <f>IFERROR(VLOOKUP($B21,NMBS_abonnementen!$G$7:$J$156,4,FALSE)*$CS$11,"-")</f>
        <v>1416</v>
      </c>
      <c r="S21" s="209">
        <f t="shared" si="5"/>
        <v>844</v>
      </c>
      <c r="T21" s="208">
        <f>IFERROR(VLOOKUP($B21,NMBS_abonnementen!$G$7:$N$156,8,FALSE)*$CS$12,"-")</f>
        <v>1292</v>
      </c>
      <c r="U21" s="209">
        <f t="shared" si="6"/>
        <v>720</v>
      </c>
      <c r="V21" s="210">
        <f>IFERROR(VLOOKUP($B21,NMBS_abonnementen!$G$7:$R$156,12,FALSE)*$CS$13,"-")</f>
        <v>1031</v>
      </c>
      <c r="W21" s="209">
        <f t="shared" si="7"/>
        <v>459</v>
      </c>
      <c r="X21" s="208">
        <f>IFERROR(VLOOKUP($B21,NMBS_abonnementen!$G$7:$K$156,5,FALSE)*$CS$18,"-")</f>
        <v>1224</v>
      </c>
      <c r="Y21" s="209">
        <f t="shared" si="8"/>
        <v>652</v>
      </c>
      <c r="Z21" s="208">
        <f>IFERROR(VLOOKUP($B21,NMBS_abonnementen!$G$7:$O$156,9,FALSE)*$CS$19,"-")</f>
        <v>1088</v>
      </c>
      <c r="AA21" s="209">
        <f t="shared" si="9"/>
        <v>516</v>
      </c>
      <c r="AB21" s="210">
        <f>IFERROR(VLOOKUP($B21,NMBS_abonnementen!$G$7:$S$156,13,FALSE),"-")</f>
        <v>907</v>
      </c>
      <c r="AC21" s="198">
        <f t="shared" si="17"/>
        <v>720</v>
      </c>
      <c r="AD21" s="198">
        <f t="shared" si="10"/>
        <v>50.399999999999977</v>
      </c>
      <c r="AE21" s="198">
        <f t="shared" si="11"/>
        <v>484</v>
      </c>
      <c r="AF21" s="198">
        <f t="shared" si="12"/>
        <v>-236</v>
      </c>
      <c r="AH21" s="198">
        <f t="shared" si="13"/>
        <v>669.6</v>
      </c>
      <c r="AI21" s="198">
        <f t="shared" si="14"/>
        <v>185.60000000000002</v>
      </c>
      <c r="AJ21" s="198">
        <f t="shared" si="15"/>
        <v>669.6</v>
      </c>
      <c r="AK21" s="198">
        <f t="shared" si="16"/>
        <v>0</v>
      </c>
      <c r="AL21" s="179"/>
      <c r="AM21" s="175"/>
      <c r="AN21" s="289"/>
      <c r="AO21" s="291"/>
      <c r="AP21" s="291"/>
      <c r="AQ21" s="291"/>
      <c r="AR21" s="303"/>
      <c r="AT21" s="307"/>
      <c r="AU21" s="301"/>
      <c r="AV21" s="301"/>
      <c r="AW21" s="301"/>
      <c r="AX21" s="305"/>
      <c r="AY21" s="181"/>
      <c r="BA21" s="241" t="s">
        <v>65</v>
      </c>
      <c r="BB21" s="242"/>
      <c r="BF21" s="173"/>
      <c r="BG21" s="297" t="s">
        <v>66</v>
      </c>
      <c r="BH21" s="298"/>
      <c r="BI21" s="298"/>
      <c r="BJ21" s="298"/>
      <c r="BK21" s="299"/>
      <c r="BN21" s="200"/>
      <c r="BO21" s="201"/>
      <c r="BP21" s="201"/>
      <c r="BQ21" s="201"/>
      <c r="BR21" s="202"/>
      <c r="BT21" s="200"/>
      <c r="BU21" s="201"/>
      <c r="BV21" s="201"/>
      <c r="BW21" s="201"/>
      <c r="BX21" s="202"/>
      <c r="BY21" s="181"/>
      <c r="BZ21" s="200"/>
      <c r="CA21" s="201"/>
      <c r="CB21" s="201"/>
      <c r="CC21" s="201"/>
      <c r="CD21" s="202"/>
      <c r="CF21" s="200"/>
      <c r="CG21" s="201"/>
      <c r="CH21" s="201"/>
      <c r="CI21" s="201"/>
      <c r="CJ21" s="202"/>
      <c r="CL21" s="200"/>
      <c r="CM21" s="201"/>
      <c r="CN21" s="201"/>
      <c r="CO21" s="201"/>
      <c r="CP21" s="202"/>
    </row>
    <row r="22" spans="2:98" ht="12" customHeight="1">
      <c r="B22" s="110">
        <v>12</v>
      </c>
      <c r="C22" s="102">
        <f>NMBS_flexabo!$C16*$AR$15</f>
        <v>675</v>
      </c>
      <c r="D22" s="102">
        <f>NMBS_flexabo!$D16*$AR$22</f>
        <v>594</v>
      </c>
      <c r="E22" s="102">
        <f>NMBS_flexabo!$E16*VLOOKUP($B$5,$AS$43:$AY$43,7,FALSE)</f>
        <v>641.25</v>
      </c>
      <c r="F22" s="102">
        <f>NMBS_flexabo!$F16*VLOOKUP($B$5,$AS$45:$AY$48,7,FALSE)</f>
        <v>628</v>
      </c>
      <c r="G22" s="104">
        <f>IFERROR(VLOOKUP($B22,NMBS_abonnementen!$G$7:$H$156,2,FALSE),"-")*VLOOKUP($B$5,NMBS_halftijds!$P$4:$Q$44,2)</f>
        <v>630.78912000000003</v>
      </c>
      <c r="H22" s="104">
        <f>IFERROR(VLOOKUP($B22,NMBS_abonnementen!$G$7:$I$156,3,FALSE)*$BB$22,"-")</f>
        <v>924</v>
      </c>
      <c r="I22" s="104">
        <f>IFERROR(VLOOKUP($B22,NMBS_abonnementen!$G$7:$M$156,7,FALSE)*$BB$23,"-")</f>
        <v>860</v>
      </c>
      <c r="J22" s="104" t="str">
        <f>IFERROR(VLOOKUP($B22,NMBS_abonnementen!$G$7:$Q$156,11,FALSE),"-")</f>
        <v xml:space="preserve"> 766,00</v>
      </c>
      <c r="K22" s="104">
        <f>VLOOKUP($B22,NMBS_ticketten!$G$6:$I$155,3,FALSE)*$B$5*$E$5</f>
        <v>712.8</v>
      </c>
      <c r="L22" s="101" t="str">
        <f t="shared" si="0"/>
        <v/>
      </c>
      <c r="M22" s="101">
        <f t="shared" si="1"/>
        <v>2203.2000000000003</v>
      </c>
      <c r="N22" s="103">
        <f t="shared" si="2"/>
        <v>669.6</v>
      </c>
      <c r="O22" s="174"/>
      <c r="P22" s="269">
        <f t="shared" si="3"/>
        <v>594</v>
      </c>
      <c r="Q22" s="271">
        <f t="shared" si="4"/>
        <v>594</v>
      </c>
      <c r="R22" s="208">
        <f>IFERROR(VLOOKUP($B22,NMBS_abonnementen!$G$7:$J$156,4,FALSE)*$CS$11,"-")</f>
        <v>1464</v>
      </c>
      <c r="S22" s="209">
        <f t="shared" si="5"/>
        <v>870</v>
      </c>
      <c r="T22" s="208">
        <f>IFERROR(VLOOKUP($B22,NMBS_abonnementen!$G$7:$N$156,8,FALSE)*$CS$12,"-")</f>
        <v>1332</v>
      </c>
      <c r="U22" s="209">
        <f t="shared" si="6"/>
        <v>738</v>
      </c>
      <c r="V22" s="210">
        <f>IFERROR(VLOOKUP($B22,NMBS_abonnementen!$G$7:$R$156,12,FALSE)*$CS$13,"-")</f>
        <v>1065</v>
      </c>
      <c r="W22" s="209">
        <f t="shared" si="7"/>
        <v>471</v>
      </c>
      <c r="X22" s="208">
        <f>IFERROR(VLOOKUP($B22,NMBS_abonnementen!$G$7:$K$156,5,FALSE)*$CS$18,"-")</f>
        <v>1272</v>
      </c>
      <c r="Y22" s="209">
        <f t="shared" si="8"/>
        <v>678</v>
      </c>
      <c r="Z22" s="208">
        <f>IFERROR(VLOOKUP($B22,NMBS_abonnementen!$G$7:$O$156,9,FALSE)*$CS$19,"-")</f>
        <v>1128</v>
      </c>
      <c r="AA22" s="209">
        <f t="shared" si="9"/>
        <v>534</v>
      </c>
      <c r="AB22" s="210">
        <f>IFERROR(VLOOKUP($B22,NMBS_abonnementen!$G$7:$S$156,13,FALSE),"-")</f>
        <v>941</v>
      </c>
      <c r="AC22" s="198">
        <f t="shared" si="17"/>
        <v>720</v>
      </c>
      <c r="AD22" s="198">
        <f t="shared" si="10"/>
        <v>50.399999999999977</v>
      </c>
      <c r="AE22" s="198">
        <f t="shared" si="11"/>
        <v>484</v>
      </c>
      <c r="AF22" s="198">
        <f t="shared" si="12"/>
        <v>-236</v>
      </c>
      <c r="AH22" s="198">
        <f t="shared" si="13"/>
        <v>669.6</v>
      </c>
      <c r="AI22" s="198">
        <f t="shared" si="14"/>
        <v>185.60000000000002</v>
      </c>
      <c r="AJ22" s="198">
        <f t="shared" si="15"/>
        <v>669.6</v>
      </c>
      <c r="AK22" s="198">
        <f t="shared" si="16"/>
        <v>0</v>
      </c>
      <c r="AL22" s="179"/>
      <c r="AM22" s="175"/>
      <c r="AN22" s="224">
        <f>$B$5</f>
        <v>2.4</v>
      </c>
      <c r="AO22" s="225">
        <f>$E$5</f>
        <v>45</v>
      </c>
      <c r="AP22" s="233">
        <f>$AU$15/$AX$1</f>
        <v>0.86538461538461542</v>
      </c>
      <c r="AQ22" s="227">
        <f>VLOOKUP($AN$22,'berekening flexabo'!AB3:AC43,2)</f>
        <v>12.46</v>
      </c>
      <c r="AR22" s="234">
        <f>ROUNDUP($AP$22*$AQ$22,0)</f>
        <v>11</v>
      </c>
      <c r="AT22" s="216">
        <f>$B$5</f>
        <v>2.4</v>
      </c>
      <c r="AU22" s="235">
        <f>$E$5</f>
        <v>45</v>
      </c>
      <c r="AV22" s="236">
        <f>$AU$15/$AX$1</f>
        <v>0.86538461538461542</v>
      </c>
      <c r="AW22" s="218">
        <f>VLOOKUP($AT$22,'berekening flexabo'!V4:W8,2)</f>
        <v>10.5</v>
      </c>
      <c r="AX22" s="237">
        <f>ROUNDUP($AV$22*$AW$22,0)</f>
        <v>10</v>
      </c>
      <c r="AY22" s="181"/>
      <c r="BA22" s="205">
        <v>1</v>
      </c>
      <c r="BB22" s="206">
        <v>12</v>
      </c>
      <c r="BG22" s="243">
        <v>10</v>
      </c>
      <c r="BH22" s="231"/>
      <c r="BI22" s="231"/>
      <c r="BJ22" s="231"/>
      <c r="BK22" s="232"/>
      <c r="BN22" s="224">
        <v>1</v>
      </c>
      <c r="BO22" s="225">
        <f>BN22*$E$5</f>
        <v>45</v>
      </c>
      <c r="BP22" s="226">
        <v>5</v>
      </c>
      <c r="BQ22" s="226">
        <f>BO22/BP22</f>
        <v>9</v>
      </c>
      <c r="BR22" s="227">
        <f>BQ22*$BN$20</f>
        <v>135</v>
      </c>
      <c r="BT22" s="224">
        <v>1</v>
      </c>
      <c r="BU22" s="225">
        <f>BT22*$E$5</f>
        <v>45</v>
      </c>
      <c r="BV22" s="226">
        <v>5</v>
      </c>
      <c r="BW22" s="226">
        <f>BU22/BV22</f>
        <v>9</v>
      </c>
      <c r="BX22" s="227">
        <f>BW22*$BT$20</f>
        <v>180</v>
      </c>
      <c r="BY22" s="181"/>
      <c r="BZ22" s="224">
        <v>1</v>
      </c>
      <c r="CA22" s="225">
        <f>BZ22*$E$5</f>
        <v>45</v>
      </c>
      <c r="CB22" s="226">
        <f>$CB$20</f>
        <v>4</v>
      </c>
      <c r="CC22" s="226">
        <f>CB22*$BZ$20</f>
        <v>3680</v>
      </c>
      <c r="CD22" s="227">
        <f>CC22</f>
        <v>3680</v>
      </c>
      <c r="CF22" s="224">
        <v>1</v>
      </c>
      <c r="CG22" s="225">
        <f>CF22*$E$5</f>
        <v>45</v>
      </c>
      <c r="CH22" s="226">
        <f>$E$5</f>
        <v>45</v>
      </c>
      <c r="CI22" s="226">
        <f>CH22*$CF$20</f>
        <v>810</v>
      </c>
      <c r="CJ22" s="227">
        <f>CI22</f>
        <v>810</v>
      </c>
      <c r="CL22" s="224">
        <v>1</v>
      </c>
      <c r="CM22" s="225">
        <f>CL22*$E$5</f>
        <v>45</v>
      </c>
      <c r="CN22" s="226">
        <v>12</v>
      </c>
      <c r="CO22" s="226">
        <f>CN22*$BZ$11</f>
        <v>3948</v>
      </c>
      <c r="CP22" s="227">
        <f>CO22</f>
        <v>3948</v>
      </c>
    </row>
    <row r="23" spans="2:98" ht="12" customHeight="1">
      <c r="B23" s="110">
        <v>13</v>
      </c>
      <c r="C23" s="102">
        <f>NMBS_flexabo!$C17*$AR$15</f>
        <v>702</v>
      </c>
      <c r="D23" s="102">
        <f>NMBS_flexabo!$D17*$AR$22</f>
        <v>627</v>
      </c>
      <c r="E23" s="102">
        <f>NMBS_flexabo!$E17*VLOOKUP($B$5,$AS$43:$AY$43,7,FALSE)</f>
        <v>669.6</v>
      </c>
      <c r="F23" s="102">
        <f>NMBS_flexabo!$F17*VLOOKUP($B$5,$AS$45:$AY$48,7,FALSE)</f>
        <v>656</v>
      </c>
      <c r="G23" s="104">
        <f>IFERROR(VLOOKUP($B23,NMBS_abonnementen!$G$7:$H$156,2,FALSE),"-")*VLOOKUP($B$5,NMBS_halftijds!$P$4:$Q$44,2)</f>
        <v>667.18080000000009</v>
      </c>
      <c r="H23" s="104">
        <f>IFERROR(VLOOKUP($B23,NMBS_abonnementen!$G$7:$I$156,3,FALSE)*$BB$22,"-")</f>
        <v>960</v>
      </c>
      <c r="I23" s="104">
        <f>IFERROR(VLOOKUP($B23,NMBS_abonnementen!$G$7:$M$156,7,FALSE)*$BB$23,"-")</f>
        <v>896</v>
      </c>
      <c r="J23" s="104" t="str">
        <f>IFERROR(VLOOKUP($B23,NMBS_abonnementen!$G$7:$Q$156,11,FALSE),"-")</f>
        <v xml:space="preserve"> 800,00</v>
      </c>
      <c r="K23" s="104">
        <f>VLOOKUP($B23,NMBS_ticketten!$G$6:$I$155,3,FALSE)*$B$5*$E$5</f>
        <v>734.4</v>
      </c>
      <c r="L23" s="101" t="str">
        <f t="shared" si="0"/>
        <v/>
      </c>
      <c r="M23" s="101">
        <f t="shared" si="1"/>
        <v>2203.2000000000003</v>
      </c>
      <c r="N23" s="103">
        <f t="shared" si="2"/>
        <v>669.6</v>
      </c>
      <c r="O23" s="174"/>
      <c r="P23" s="269">
        <f t="shared" si="3"/>
        <v>627</v>
      </c>
      <c r="Q23" s="271">
        <f t="shared" si="4"/>
        <v>627</v>
      </c>
      <c r="R23" s="208">
        <f>IFERROR(VLOOKUP($B23,NMBS_abonnementen!$G$7:$J$156,4,FALSE)*$CS$11,"-")</f>
        <v>1500</v>
      </c>
      <c r="S23" s="209">
        <f t="shared" si="5"/>
        <v>873</v>
      </c>
      <c r="T23" s="208">
        <f>IFERROR(VLOOKUP($B23,NMBS_abonnementen!$G$7:$N$156,8,FALSE)*$CS$12,"-")</f>
        <v>1368</v>
      </c>
      <c r="U23" s="209">
        <f t="shared" si="6"/>
        <v>741</v>
      </c>
      <c r="V23" s="210">
        <f>IFERROR(VLOOKUP($B23,NMBS_abonnementen!$G$7:$R$156,12,FALSE)*$CS$13,"-")</f>
        <v>1099</v>
      </c>
      <c r="W23" s="209">
        <f t="shared" si="7"/>
        <v>472</v>
      </c>
      <c r="X23" s="208">
        <f>IFERROR(VLOOKUP($B23,NMBS_abonnementen!$G$7:$K$156,5,FALSE)*$CS$18,"-")</f>
        <v>1308</v>
      </c>
      <c r="Y23" s="209">
        <f t="shared" si="8"/>
        <v>681</v>
      </c>
      <c r="Z23" s="208">
        <f>IFERROR(VLOOKUP($B23,NMBS_abonnementen!$G$7:$O$156,9,FALSE)*$CS$19,"-")</f>
        <v>1164</v>
      </c>
      <c r="AA23" s="209">
        <f t="shared" si="9"/>
        <v>537</v>
      </c>
      <c r="AB23" s="210">
        <f>IFERROR(VLOOKUP($B23,NMBS_abonnementen!$G$7:$S$156,13,FALSE),"-")</f>
        <v>975</v>
      </c>
      <c r="AC23" s="198">
        <f t="shared" si="17"/>
        <v>720</v>
      </c>
      <c r="AD23" s="198">
        <f t="shared" si="10"/>
        <v>50.399999999999977</v>
      </c>
      <c r="AE23" s="198">
        <f t="shared" si="11"/>
        <v>484</v>
      </c>
      <c r="AF23" s="198">
        <f t="shared" si="12"/>
        <v>-236</v>
      </c>
      <c r="AH23" s="198">
        <f t="shared" si="13"/>
        <v>669.6</v>
      </c>
      <c r="AI23" s="198">
        <f t="shared" si="14"/>
        <v>185.60000000000002</v>
      </c>
      <c r="AJ23" s="198">
        <f t="shared" si="15"/>
        <v>669.6</v>
      </c>
      <c r="AK23" s="198">
        <f t="shared" si="16"/>
        <v>0</v>
      </c>
      <c r="AL23" s="179"/>
      <c r="AM23" s="175"/>
      <c r="AN23" s="175"/>
      <c r="AR23" s="173"/>
      <c r="AX23" s="181"/>
      <c r="AY23" s="181"/>
      <c r="BA23" s="219">
        <v>3</v>
      </c>
      <c r="BB23" s="220">
        <v>4</v>
      </c>
      <c r="BG23" s="243"/>
      <c r="BH23" s="231"/>
      <c r="BI23" s="231"/>
      <c r="BJ23" s="231"/>
      <c r="BK23" s="232"/>
      <c r="BN23" s="224">
        <v>2</v>
      </c>
      <c r="BO23" s="225">
        <f>BN23*$E$5</f>
        <v>90</v>
      </c>
      <c r="BP23" s="226">
        <v>5</v>
      </c>
      <c r="BQ23" s="226">
        <f>BO23/BP23</f>
        <v>18</v>
      </c>
      <c r="BR23" s="227">
        <f>BQ23*$BN$20</f>
        <v>270</v>
      </c>
      <c r="BT23" s="224">
        <v>2</v>
      </c>
      <c r="BU23" s="225">
        <f>BT23*$E$5</f>
        <v>90</v>
      </c>
      <c r="BV23" s="226">
        <v>5</v>
      </c>
      <c r="BW23" s="226">
        <f>BU23/BV23</f>
        <v>18</v>
      </c>
      <c r="BX23" s="227">
        <f>BW23*$BT$20</f>
        <v>360</v>
      </c>
      <c r="BY23" s="181"/>
      <c r="BZ23" s="224">
        <v>2</v>
      </c>
      <c r="CA23" s="225">
        <f>BZ23*$E$5</f>
        <v>90</v>
      </c>
      <c r="CB23" s="226">
        <f>$CB$20</f>
        <v>4</v>
      </c>
      <c r="CC23" s="226">
        <f>CB23*$BZ$20</f>
        <v>3680</v>
      </c>
      <c r="CD23" s="227">
        <f>CC23</f>
        <v>3680</v>
      </c>
      <c r="CF23" s="224">
        <v>2</v>
      </c>
      <c r="CG23" s="225">
        <f>CF23*$E$5</f>
        <v>90</v>
      </c>
      <c r="CH23" s="226">
        <f>$E$5</f>
        <v>45</v>
      </c>
      <c r="CI23" s="226">
        <f>CH23*$CF$20</f>
        <v>810</v>
      </c>
      <c r="CJ23" s="227">
        <f>CI23</f>
        <v>810</v>
      </c>
      <c r="CL23" s="224">
        <v>2</v>
      </c>
      <c r="CM23" s="225">
        <f>CL23*$E$5</f>
        <v>90</v>
      </c>
      <c r="CN23" s="226">
        <v>12</v>
      </c>
      <c r="CO23" s="226">
        <f>CN23*$BZ$11</f>
        <v>3948</v>
      </c>
      <c r="CP23" s="227">
        <f>CO23</f>
        <v>3948</v>
      </c>
    </row>
    <row r="24" spans="2:98" ht="12" customHeight="1">
      <c r="B24" s="110">
        <v>14</v>
      </c>
      <c r="C24" s="102">
        <f>NMBS_flexabo!$C18*$AR$15</f>
        <v>738</v>
      </c>
      <c r="D24" s="102">
        <f>NMBS_flexabo!$D18*$AR$22</f>
        <v>649</v>
      </c>
      <c r="E24" s="102">
        <f>NMBS_flexabo!$E18*VLOOKUP($B$5,$AS$43:$AY$43,7,FALSE)</f>
        <v>697.95</v>
      </c>
      <c r="F24" s="102">
        <f>NMBS_flexabo!$F18*VLOOKUP($B$5,$AS$45:$AY$48,7,FALSE)</f>
        <v>684</v>
      </c>
      <c r="G24" s="104">
        <f>IFERROR(VLOOKUP($B24,NMBS_abonnementen!$G$7:$H$156,2,FALSE),"-")*VLOOKUP($B$5,NMBS_halftijds!$P$4:$Q$44,2)</f>
        <v>691.4419200000001</v>
      </c>
      <c r="H24" s="104">
        <f>IFERROR(VLOOKUP($B24,NMBS_abonnementen!$G$7:$I$156,3,FALSE)*$BB$22,"-")</f>
        <v>996</v>
      </c>
      <c r="I24" s="104">
        <f>IFERROR(VLOOKUP($B24,NMBS_abonnementen!$G$7:$M$156,7,FALSE)*$BB$23,"-")</f>
        <v>932</v>
      </c>
      <c r="J24" s="104" t="str">
        <f>IFERROR(VLOOKUP($B24,NMBS_abonnementen!$G$7:$Q$156,11,FALSE),"-")</f>
        <v xml:space="preserve"> 834,00</v>
      </c>
      <c r="K24" s="104">
        <f>VLOOKUP($B24,NMBS_ticketten!$G$6:$I$155,3,FALSE)*$B$5*$E$5</f>
        <v>777.6</v>
      </c>
      <c r="L24" s="101" t="str">
        <f t="shared" si="0"/>
        <v/>
      </c>
      <c r="M24" s="101">
        <f t="shared" si="1"/>
        <v>2203.2000000000003</v>
      </c>
      <c r="N24" s="103">
        <f t="shared" si="2"/>
        <v>669.6</v>
      </c>
      <c r="O24" s="174"/>
      <c r="P24" s="269">
        <f t="shared" si="3"/>
        <v>649</v>
      </c>
      <c r="Q24" s="271">
        <f t="shared" si="4"/>
        <v>649</v>
      </c>
      <c r="R24" s="208">
        <f>IFERROR(VLOOKUP($B24,NMBS_abonnementen!$G$7:$J$156,4,FALSE)*$CS$11,"-")</f>
        <v>1536</v>
      </c>
      <c r="S24" s="209">
        <f t="shared" si="5"/>
        <v>887</v>
      </c>
      <c r="T24" s="208">
        <f>IFERROR(VLOOKUP($B24,NMBS_abonnementen!$G$7:$N$156,8,FALSE)*$CS$12,"-")</f>
        <v>1404</v>
      </c>
      <c r="U24" s="209">
        <f t="shared" si="6"/>
        <v>755</v>
      </c>
      <c r="V24" s="210">
        <f>IFERROR(VLOOKUP($B24,NMBS_abonnementen!$G$7:$R$156,12,FALSE)*$CS$13,"-")</f>
        <v>1133</v>
      </c>
      <c r="W24" s="209">
        <f t="shared" si="7"/>
        <v>484</v>
      </c>
      <c r="X24" s="208">
        <f>IFERROR(VLOOKUP($B24,NMBS_abonnementen!$G$7:$K$156,5,FALSE)*$CS$18,"-")</f>
        <v>1344</v>
      </c>
      <c r="Y24" s="209">
        <f t="shared" si="8"/>
        <v>695</v>
      </c>
      <c r="Z24" s="208">
        <f>IFERROR(VLOOKUP($B24,NMBS_abonnementen!$G$7:$O$156,9,FALSE)*$CS$19,"-")</f>
        <v>1200</v>
      </c>
      <c r="AA24" s="209">
        <f t="shared" si="9"/>
        <v>551</v>
      </c>
      <c r="AB24" s="210">
        <f>IFERROR(VLOOKUP($B24,NMBS_abonnementen!$G$7:$S$156,13,FALSE),"-")</f>
        <v>1009</v>
      </c>
      <c r="AC24" s="198">
        <f t="shared" si="17"/>
        <v>720</v>
      </c>
      <c r="AD24" s="198">
        <f t="shared" si="10"/>
        <v>50.399999999999977</v>
      </c>
      <c r="AE24" s="198">
        <f t="shared" si="11"/>
        <v>484</v>
      </c>
      <c r="AF24" s="198">
        <f t="shared" si="12"/>
        <v>-236</v>
      </c>
      <c r="AH24" s="198">
        <f t="shared" si="13"/>
        <v>669.6</v>
      </c>
      <c r="AI24" s="198">
        <f t="shared" si="14"/>
        <v>185.60000000000002</v>
      </c>
      <c r="AJ24" s="198">
        <f t="shared" si="15"/>
        <v>669.6</v>
      </c>
      <c r="AK24" s="198">
        <f t="shared" si="16"/>
        <v>0</v>
      </c>
      <c r="AL24" s="179"/>
      <c r="AM24" s="175"/>
      <c r="AN24" s="175"/>
      <c r="AX24" s="181"/>
      <c r="AY24" s="181"/>
      <c r="BG24" s="216">
        <v>1</v>
      </c>
      <c r="BH24" s="235">
        <f>BG24*$E$5</f>
        <v>45</v>
      </c>
      <c r="BI24" s="217">
        <v>5</v>
      </c>
      <c r="BJ24" s="217">
        <f>BH24/$BI$24</f>
        <v>9</v>
      </c>
      <c r="BK24" s="218"/>
      <c r="BN24" s="224">
        <v>3</v>
      </c>
      <c r="BO24" s="225">
        <f>BN24*$E$5</f>
        <v>135</v>
      </c>
      <c r="BP24" s="226">
        <v>5</v>
      </c>
      <c r="BQ24" s="226">
        <f>BO24/BP24</f>
        <v>27</v>
      </c>
      <c r="BR24" s="227">
        <f>BQ24*$BN$20</f>
        <v>405</v>
      </c>
      <c r="BT24" s="224">
        <v>3</v>
      </c>
      <c r="BU24" s="225">
        <f>BT24*$E$5</f>
        <v>135</v>
      </c>
      <c r="BV24" s="226">
        <v>5</v>
      </c>
      <c r="BW24" s="226">
        <f>BU24/BV24</f>
        <v>27</v>
      </c>
      <c r="BX24" s="227">
        <f>BW24*$BT$20</f>
        <v>540</v>
      </c>
      <c r="BY24" s="181"/>
      <c r="BZ24" s="224">
        <v>3</v>
      </c>
      <c r="CA24" s="225">
        <f>BZ24*$E$5</f>
        <v>135</v>
      </c>
      <c r="CB24" s="226">
        <f>$CB$20</f>
        <v>4</v>
      </c>
      <c r="CC24" s="226">
        <f>CB24*$BZ$20</f>
        <v>3680</v>
      </c>
      <c r="CD24" s="227">
        <f>CC24</f>
        <v>3680</v>
      </c>
      <c r="CF24" s="224">
        <v>3</v>
      </c>
      <c r="CG24" s="225">
        <f>CF24*$E$5</f>
        <v>135</v>
      </c>
      <c r="CH24" s="226">
        <f>$E$5</f>
        <v>45</v>
      </c>
      <c r="CI24" s="226">
        <f>CH24*$CF$20</f>
        <v>810</v>
      </c>
      <c r="CJ24" s="227">
        <f>CI24</f>
        <v>810</v>
      </c>
      <c r="CL24" s="224">
        <v>3</v>
      </c>
      <c r="CM24" s="225">
        <f>CL24*$E$5</f>
        <v>135</v>
      </c>
      <c r="CN24" s="226">
        <v>12</v>
      </c>
      <c r="CO24" s="226">
        <f>CN24*$BZ$11</f>
        <v>3948</v>
      </c>
      <c r="CP24" s="227">
        <f>CO24</f>
        <v>3948</v>
      </c>
    </row>
    <row r="25" spans="2:98" ht="12" customHeight="1">
      <c r="B25" s="110">
        <v>15</v>
      </c>
      <c r="C25" s="102">
        <f>NMBS_flexabo!$C19*$AR$15</f>
        <v>765</v>
      </c>
      <c r="D25" s="102">
        <f>NMBS_flexabo!$D19*$AR$22</f>
        <v>682</v>
      </c>
      <c r="E25" s="102">
        <f>NMBS_flexabo!$E19*VLOOKUP($B$5,$AS$43:$AY$43,7,FALSE)</f>
        <v>726.30000000000007</v>
      </c>
      <c r="F25" s="102">
        <f>NMBS_flexabo!$F19*VLOOKUP($B$5,$AS$45:$AY$48,7,FALSE)</f>
        <v>712</v>
      </c>
      <c r="G25" s="104">
        <f>IFERROR(VLOOKUP($B25,NMBS_abonnementen!$G$7:$H$156,2,FALSE),"-")*VLOOKUP($B$5,NMBS_halftijds!$P$4:$Q$44,2)</f>
        <v>715.7030400000001</v>
      </c>
      <c r="H25" s="104">
        <f>IFERROR(VLOOKUP($B25,NMBS_abonnementen!$G$7:$I$156,3,FALSE)*$BB$22,"-")</f>
        <v>1044</v>
      </c>
      <c r="I25" s="104">
        <f>IFERROR(VLOOKUP($B25,NMBS_abonnementen!$G$7:$M$156,7,FALSE)*$BB$23,"-")</f>
        <v>972</v>
      </c>
      <c r="J25" s="104" t="str">
        <f>IFERROR(VLOOKUP($B25,NMBS_abonnementen!$G$7:$Q$156,11,FALSE),"-")</f>
        <v xml:space="preserve"> 868,00</v>
      </c>
      <c r="K25" s="104">
        <f>VLOOKUP($B25,NMBS_ticketten!$G$6:$I$155,3,FALSE)*$B$5*$E$5</f>
        <v>820.8</v>
      </c>
      <c r="L25" s="101" t="str">
        <f t="shared" si="0"/>
        <v/>
      </c>
      <c r="M25" s="101">
        <f t="shared" si="1"/>
        <v>2203.2000000000003</v>
      </c>
      <c r="N25" s="103">
        <f t="shared" si="2"/>
        <v>669.6</v>
      </c>
      <c r="O25" s="174"/>
      <c r="P25" s="269">
        <f t="shared" si="3"/>
        <v>682</v>
      </c>
      <c r="Q25" s="271">
        <f t="shared" si="4"/>
        <v>682</v>
      </c>
      <c r="R25" s="208">
        <f>IFERROR(VLOOKUP($B25,NMBS_abonnementen!$G$7:$J$156,4,FALSE)*$CS$11,"-")</f>
        <v>1584</v>
      </c>
      <c r="S25" s="209">
        <f t="shared" si="5"/>
        <v>902</v>
      </c>
      <c r="T25" s="208">
        <f>IFERROR(VLOOKUP($B25,NMBS_abonnementen!$G$7:$N$156,8,FALSE)*$CS$12,"-")</f>
        <v>1444</v>
      </c>
      <c r="U25" s="209">
        <f t="shared" si="6"/>
        <v>762</v>
      </c>
      <c r="V25" s="210">
        <f>IFERROR(VLOOKUP($B25,NMBS_abonnementen!$G$7:$R$156,12,FALSE)*$CS$13,"-")</f>
        <v>1167</v>
      </c>
      <c r="W25" s="209">
        <f t="shared" si="7"/>
        <v>485</v>
      </c>
      <c r="X25" s="208">
        <f>IFERROR(VLOOKUP($B25,NMBS_abonnementen!$G$7:$K$156,5,FALSE)*$CS$18,"-")</f>
        <v>1392</v>
      </c>
      <c r="Y25" s="209">
        <f t="shared" si="8"/>
        <v>710</v>
      </c>
      <c r="Z25" s="208">
        <f>IFERROR(VLOOKUP($B25,NMBS_abonnementen!$G$7:$O$156,9,FALSE)*$CS$19,"-")</f>
        <v>1240</v>
      </c>
      <c r="AA25" s="209">
        <f t="shared" si="9"/>
        <v>558</v>
      </c>
      <c r="AB25" s="210">
        <f>IFERROR(VLOOKUP($B25,NMBS_abonnementen!$G$7:$S$156,13,FALSE),"-")</f>
        <v>1043</v>
      </c>
      <c r="AC25" s="198">
        <f t="shared" si="17"/>
        <v>720</v>
      </c>
      <c r="AD25" s="198">
        <f t="shared" si="10"/>
        <v>50.399999999999977</v>
      </c>
      <c r="AE25" s="198">
        <f t="shared" si="11"/>
        <v>484</v>
      </c>
      <c r="AF25" s="198">
        <f t="shared" si="12"/>
        <v>-236</v>
      </c>
      <c r="AH25" s="198">
        <f t="shared" si="13"/>
        <v>669.6</v>
      </c>
      <c r="AI25" s="198">
        <f t="shared" si="14"/>
        <v>185.60000000000002</v>
      </c>
      <c r="AJ25" s="198">
        <f t="shared" si="15"/>
        <v>669.6</v>
      </c>
      <c r="AK25" s="198">
        <f t="shared" si="16"/>
        <v>0</v>
      </c>
      <c r="AL25" s="179"/>
      <c r="AM25" s="175"/>
      <c r="AN25" s="175"/>
      <c r="AR25" s="173"/>
      <c r="AS25" s="173"/>
      <c r="AT25" s="173"/>
      <c r="AU25" s="173"/>
      <c r="AV25" s="173"/>
      <c r="AW25" s="173"/>
      <c r="AX25" s="173"/>
      <c r="AY25" s="173"/>
      <c r="BG25" s="216">
        <v>2</v>
      </c>
      <c r="BH25" s="235">
        <f>BG25*$E$5</f>
        <v>90</v>
      </c>
      <c r="BI25" s="217">
        <v>5</v>
      </c>
      <c r="BJ25" s="217">
        <f>BH25/$BI$24</f>
        <v>18</v>
      </c>
      <c r="BK25" s="218"/>
      <c r="BN25" s="224">
        <v>4</v>
      </c>
      <c r="BO25" s="225">
        <f>BN25*$E$5</f>
        <v>180</v>
      </c>
      <c r="BP25" s="226">
        <v>5</v>
      </c>
      <c r="BQ25" s="226">
        <f>BO25/BP25</f>
        <v>36</v>
      </c>
      <c r="BR25" s="227">
        <f>BQ25*$BN$20</f>
        <v>540</v>
      </c>
      <c r="BT25" s="224">
        <v>4</v>
      </c>
      <c r="BU25" s="225">
        <f>BT25*$E$5</f>
        <v>180</v>
      </c>
      <c r="BV25" s="226">
        <v>5</v>
      </c>
      <c r="BW25" s="226">
        <f>BU25/BV25</f>
        <v>36</v>
      </c>
      <c r="BX25" s="227">
        <f>BW25*$BT$20</f>
        <v>720</v>
      </c>
      <c r="BY25" s="181"/>
      <c r="BZ25" s="224">
        <v>4</v>
      </c>
      <c r="CA25" s="225">
        <f>BZ25*$E$5</f>
        <v>180</v>
      </c>
      <c r="CB25" s="226">
        <f>$CB$20</f>
        <v>4</v>
      </c>
      <c r="CC25" s="226">
        <f>CB25*$BZ$20</f>
        <v>3680</v>
      </c>
      <c r="CD25" s="227">
        <f>CC25</f>
        <v>3680</v>
      </c>
      <c r="CF25" s="224">
        <v>4</v>
      </c>
      <c r="CG25" s="225">
        <f>CF25*$E$5</f>
        <v>180</v>
      </c>
      <c r="CH25" s="226">
        <f>$E$5</f>
        <v>45</v>
      </c>
      <c r="CI25" s="226">
        <f>CH25*$CF$20</f>
        <v>810</v>
      </c>
      <c r="CJ25" s="227">
        <f>CI25</f>
        <v>810</v>
      </c>
      <c r="CL25" s="224">
        <v>4</v>
      </c>
      <c r="CM25" s="225">
        <f>CL25*$E$5</f>
        <v>180</v>
      </c>
      <c r="CN25" s="226">
        <v>12</v>
      </c>
      <c r="CO25" s="226">
        <f>CN25*$BZ$11</f>
        <v>3948</v>
      </c>
      <c r="CP25" s="227">
        <f>CO25</f>
        <v>3948</v>
      </c>
    </row>
    <row r="26" spans="2:98" ht="12" customHeight="1">
      <c r="B26" s="110">
        <v>16</v>
      </c>
      <c r="C26" s="102">
        <f>NMBS_flexabo!$C20*$AR$15</f>
        <v>792</v>
      </c>
      <c r="D26" s="102">
        <f>NMBS_flexabo!$D20*$AR$22</f>
        <v>704</v>
      </c>
      <c r="E26" s="102">
        <f>NMBS_flexabo!$E20*VLOOKUP($B$5,$AS$43:$AY$43,7,FALSE)</f>
        <v>754.65000000000009</v>
      </c>
      <c r="F26" s="102">
        <f>NMBS_flexabo!$F20*VLOOKUP($B$5,$AS$45:$AY$48,7,FALSE)</f>
        <v>739</v>
      </c>
      <c r="G26" s="104">
        <f>IFERROR(VLOOKUP($B26,NMBS_abonnementen!$G$7:$H$156,2,FALSE),"-")*VLOOKUP($B$5,NMBS_halftijds!$P$4:$Q$44,2)</f>
        <v>739.96416000000011</v>
      </c>
      <c r="H26" s="104">
        <f>IFERROR(VLOOKUP($B26,NMBS_abonnementen!$G$7:$I$156,3,FALSE)*$BB$22,"-")</f>
        <v>1080</v>
      </c>
      <c r="I26" s="104">
        <f>IFERROR(VLOOKUP($B26,NMBS_abonnementen!$G$7:$M$156,7,FALSE)*$BB$23,"-")</f>
        <v>1008</v>
      </c>
      <c r="J26" s="104" t="str">
        <f>IFERROR(VLOOKUP($B26,NMBS_abonnementen!$G$7:$Q$156,11,FALSE),"-")</f>
        <v xml:space="preserve"> 902,00</v>
      </c>
      <c r="K26" s="104">
        <f>VLOOKUP($B26,NMBS_ticketten!$G$6:$I$155,3,FALSE)*$B$5*$E$5</f>
        <v>842.4</v>
      </c>
      <c r="L26" s="101" t="str">
        <f t="shared" si="0"/>
        <v/>
      </c>
      <c r="M26" s="101">
        <f t="shared" si="1"/>
        <v>2203.2000000000003</v>
      </c>
      <c r="N26" s="103">
        <f t="shared" si="2"/>
        <v>669.6</v>
      </c>
      <c r="O26" s="174"/>
      <c r="P26" s="269">
        <f t="shared" si="3"/>
        <v>704</v>
      </c>
      <c r="Q26" s="271">
        <f t="shared" si="4"/>
        <v>704</v>
      </c>
      <c r="R26" s="208">
        <f>IFERROR(VLOOKUP($B26,NMBS_abonnementen!$G$7:$J$156,4,FALSE)*$CS$11,"-")</f>
        <v>1620</v>
      </c>
      <c r="S26" s="209">
        <f t="shared" si="5"/>
        <v>916</v>
      </c>
      <c r="T26" s="208">
        <f>IFERROR(VLOOKUP($B26,NMBS_abonnementen!$G$7:$N$156,8,FALSE)*$CS$12,"-")</f>
        <v>1480</v>
      </c>
      <c r="U26" s="209">
        <f t="shared" si="6"/>
        <v>776</v>
      </c>
      <c r="V26" s="210">
        <f>IFERROR(VLOOKUP($B26,NMBS_abonnementen!$G$7:$R$156,12,FALSE)*$CS$13,"-")</f>
        <v>1201</v>
      </c>
      <c r="W26" s="209">
        <f t="shared" si="7"/>
        <v>497</v>
      </c>
      <c r="X26" s="208">
        <f>IFERROR(VLOOKUP($B26,NMBS_abonnementen!$G$7:$K$156,5,FALSE)*$CS$18,"-")</f>
        <v>1428</v>
      </c>
      <c r="Y26" s="209">
        <f t="shared" si="8"/>
        <v>724</v>
      </c>
      <c r="Z26" s="208">
        <f>IFERROR(VLOOKUP($B26,NMBS_abonnementen!$G$7:$O$156,9,FALSE)*$CS$19,"-")</f>
        <v>1276</v>
      </c>
      <c r="AA26" s="209">
        <f t="shared" si="9"/>
        <v>572</v>
      </c>
      <c r="AB26" s="210">
        <f>IFERROR(VLOOKUP($B26,NMBS_abonnementen!$G$7:$S$156,13,FALSE),"-")</f>
        <v>1077</v>
      </c>
      <c r="AC26" s="198">
        <f t="shared" si="17"/>
        <v>720</v>
      </c>
      <c r="AD26" s="198">
        <f t="shared" si="10"/>
        <v>50.399999999999977</v>
      </c>
      <c r="AE26" s="198">
        <f t="shared" si="11"/>
        <v>484</v>
      </c>
      <c r="AF26" s="198">
        <f t="shared" si="12"/>
        <v>-236</v>
      </c>
      <c r="AH26" s="198">
        <f t="shared" si="13"/>
        <v>669.6</v>
      </c>
      <c r="AI26" s="198">
        <f t="shared" si="14"/>
        <v>185.60000000000002</v>
      </c>
      <c r="AJ26" s="198">
        <f t="shared" si="15"/>
        <v>669.6</v>
      </c>
      <c r="AK26" s="198">
        <f t="shared" si="16"/>
        <v>0</v>
      </c>
      <c r="AL26" s="179"/>
      <c r="AM26" s="175"/>
      <c r="AN26" s="175"/>
      <c r="AR26" s="173"/>
      <c r="AS26" s="173"/>
      <c r="AT26" s="173"/>
      <c r="AU26" s="173"/>
      <c r="AV26" s="173"/>
      <c r="AW26" s="173"/>
      <c r="AX26" s="173"/>
      <c r="AY26" s="173"/>
      <c r="BA26" s="297" t="s">
        <v>67</v>
      </c>
      <c r="BB26" s="298"/>
      <c r="BC26" s="298"/>
      <c r="BD26" s="298"/>
      <c r="BE26" s="299"/>
      <c r="BG26" s="216">
        <v>3</v>
      </c>
      <c r="BH26" s="235">
        <f>BG26*$E$5</f>
        <v>135</v>
      </c>
      <c r="BI26" s="217">
        <v>5</v>
      </c>
      <c r="BJ26" s="217">
        <f>BH26/$BI$24</f>
        <v>27</v>
      </c>
      <c r="BK26" s="218"/>
      <c r="BN26" s="239">
        <v>5</v>
      </c>
      <c r="BO26" s="240">
        <f>BN26*$E$5</f>
        <v>225</v>
      </c>
      <c r="BP26" s="226">
        <v>5</v>
      </c>
      <c r="BQ26" s="226">
        <f>BO26/BP26</f>
        <v>45</v>
      </c>
      <c r="BR26" s="227">
        <f>BQ26*$BN$20</f>
        <v>675</v>
      </c>
      <c r="BT26" s="239">
        <v>5</v>
      </c>
      <c r="BU26" s="240">
        <f>BT26*$E$5</f>
        <v>225</v>
      </c>
      <c r="BV26" s="226">
        <v>5</v>
      </c>
      <c r="BW26" s="226">
        <f>BU26/BV26</f>
        <v>45</v>
      </c>
      <c r="BX26" s="227">
        <f>BW26*$BT$20</f>
        <v>900</v>
      </c>
      <c r="BY26" s="181"/>
      <c r="BZ26" s="239">
        <v>5</v>
      </c>
      <c r="CA26" s="240">
        <f>BZ26*$E$5</f>
        <v>225</v>
      </c>
      <c r="CB26" s="226">
        <f>$CB$20</f>
        <v>4</v>
      </c>
      <c r="CC26" s="226">
        <f>CB26*$BZ$20</f>
        <v>3680</v>
      </c>
      <c r="CD26" s="227">
        <f>CC26</f>
        <v>3680</v>
      </c>
      <c r="CF26" s="239">
        <v>5</v>
      </c>
      <c r="CG26" s="240">
        <f>CF26*$E$5</f>
        <v>225</v>
      </c>
      <c r="CH26" s="226">
        <f>$E$5</f>
        <v>45</v>
      </c>
      <c r="CI26" s="226">
        <f>CH26*$CF$20</f>
        <v>810</v>
      </c>
      <c r="CJ26" s="227">
        <f>CI26</f>
        <v>810</v>
      </c>
      <c r="CL26" s="239">
        <v>5</v>
      </c>
      <c r="CM26" s="240">
        <f>CL26*$E$5</f>
        <v>225</v>
      </c>
      <c r="CN26" s="226">
        <v>12</v>
      </c>
      <c r="CO26" s="226">
        <f>CN26*$BZ$11</f>
        <v>3948</v>
      </c>
      <c r="CP26" s="227">
        <f>CO26</f>
        <v>3948</v>
      </c>
    </row>
    <row r="27" spans="2:98" ht="12" customHeight="1">
      <c r="B27" s="110">
        <v>17</v>
      </c>
      <c r="C27" s="102">
        <f>NMBS_flexabo!$C21*$AR$15</f>
        <v>828</v>
      </c>
      <c r="D27" s="102">
        <f>NMBS_flexabo!$D21*$AR$22</f>
        <v>726</v>
      </c>
      <c r="E27" s="102">
        <f>NMBS_flexabo!$E21*VLOOKUP($B$5,$AS$43:$AY$43,7,FALSE)</f>
        <v>783</v>
      </c>
      <c r="F27" s="102">
        <f>NMBS_flexabo!$F21*VLOOKUP($B$5,$AS$45:$AY$48,7,FALSE)</f>
        <v>767</v>
      </c>
      <c r="G27" s="104">
        <f>IFERROR(VLOOKUP($B27,NMBS_abonnementen!$G$7:$H$156,2,FALSE),"-")*VLOOKUP($B$5,NMBS_halftijds!$P$4:$Q$44,2)</f>
        <v>776.35584000000006</v>
      </c>
      <c r="H27" s="104">
        <f>IFERROR(VLOOKUP($B27,NMBS_abonnementen!$G$7:$I$156,3,FALSE)*$BB$22,"-")</f>
        <v>1128</v>
      </c>
      <c r="I27" s="104">
        <f>IFERROR(VLOOKUP($B27,NMBS_abonnementen!$G$7:$M$156,7,FALSE)*$BB$23,"-")</f>
        <v>1048</v>
      </c>
      <c r="J27" s="104" t="str">
        <f>IFERROR(VLOOKUP($B27,NMBS_abonnementen!$G$7:$Q$156,11,FALSE),"-")</f>
        <v xml:space="preserve"> 935,00</v>
      </c>
      <c r="K27" s="104">
        <f>VLOOKUP($B27,NMBS_ticketten!$G$6:$I$155,3,FALSE)*$B$5*$E$5</f>
        <v>885.5999999999998</v>
      </c>
      <c r="L27" s="101" t="str">
        <f t="shared" si="0"/>
        <v/>
      </c>
      <c r="M27" s="101">
        <f t="shared" si="1"/>
        <v>2203.2000000000003</v>
      </c>
      <c r="N27" s="103">
        <f t="shared" si="2"/>
        <v>669.6</v>
      </c>
      <c r="O27" s="174"/>
      <c r="P27" s="269">
        <f t="shared" si="3"/>
        <v>726</v>
      </c>
      <c r="Q27" s="271">
        <f t="shared" si="4"/>
        <v>726</v>
      </c>
      <c r="R27" s="208">
        <f>IFERROR(VLOOKUP($B27,NMBS_abonnementen!$G$7:$J$156,4,FALSE)*$CS$11,"-")</f>
        <v>1668</v>
      </c>
      <c r="S27" s="209">
        <f t="shared" si="5"/>
        <v>942</v>
      </c>
      <c r="T27" s="208">
        <f>IFERROR(VLOOKUP($B27,NMBS_abonnementen!$G$7:$N$156,8,FALSE)*$CS$12,"-")</f>
        <v>1520</v>
      </c>
      <c r="U27" s="209">
        <f t="shared" si="6"/>
        <v>794</v>
      </c>
      <c r="V27" s="210">
        <f>IFERROR(VLOOKUP($B27,NMBS_abonnementen!$G$7:$R$156,12,FALSE)*$CS$13,"-")</f>
        <v>1234</v>
      </c>
      <c r="W27" s="209">
        <f t="shared" si="7"/>
        <v>508</v>
      </c>
      <c r="X27" s="208">
        <f>IFERROR(VLOOKUP($B27,NMBS_abonnementen!$G$7:$K$156,5,FALSE)*$CS$18,"-")</f>
        <v>1476</v>
      </c>
      <c r="Y27" s="209">
        <f t="shared" si="8"/>
        <v>750</v>
      </c>
      <c r="Z27" s="208">
        <f>IFERROR(VLOOKUP($B27,NMBS_abonnementen!$G$7:$O$156,9,FALSE)*$CS$19,"-")</f>
        <v>1316</v>
      </c>
      <c r="AA27" s="209">
        <f t="shared" si="9"/>
        <v>590</v>
      </c>
      <c r="AB27" s="210">
        <f>IFERROR(VLOOKUP($B27,NMBS_abonnementen!$G$7:$S$156,13,FALSE),"-")</f>
        <v>1110</v>
      </c>
      <c r="AC27" s="198">
        <f t="shared" si="17"/>
        <v>720</v>
      </c>
      <c r="AD27" s="198">
        <f t="shared" si="10"/>
        <v>50.399999999999977</v>
      </c>
      <c r="AE27" s="198">
        <f t="shared" si="11"/>
        <v>484</v>
      </c>
      <c r="AF27" s="198">
        <f t="shared" si="12"/>
        <v>-236</v>
      </c>
      <c r="AH27" s="198">
        <f t="shared" si="13"/>
        <v>669.6</v>
      </c>
      <c r="AI27" s="198">
        <f t="shared" si="14"/>
        <v>185.60000000000002</v>
      </c>
      <c r="AJ27" s="198">
        <f t="shared" si="15"/>
        <v>669.6</v>
      </c>
      <c r="AK27" s="198">
        <f t="shared" si="16"/>
        <v>0</v>
      </c>
      <c r="AL27" s="179"/>
      <c r="AM27" s="175"/>
      <c r="AN27" s="175"/>
      <c r="AX27" s="181"/>
      <c r="AY27" s="181"/>
      <c r="BA27" s="243">
        <v>102</v>
      </c>
      <c r="BB27" s="231"/>
      <c r="BC27" s="231" t="s">
        <v>68</v>
      </c>
      <c r="BD27" s="231"/>
      <c r="BE27" s="232"/>
      <c r="BG27" s="216">
        <v>4</v>
      </c>
      <c r="BH27" s="235">
        <f>BG27*$E$5</f>
        <v>180</v>
      </c>
      <c r="BI27" s="217">
        <v>5</v>
      </c>
      <c r="BJ27" s="217">
        <f>BH27/$BI$24</f>
        <v>36</v>
      </c>
      <c r="BK27" s="218"/>
      <c r="BN27" s="182"/>
      <c r="BO27" s="182"/>
      <c r="BY27" s="181"/>
      <c r="BZ27" s="181"/>
    </row>
    <row r="28" spans="2:98" ht="12" customHeight="1">
      <c r="B28" s="110">
        <v>18</v>
      </c>
      <c r="C28" s="102">
        <f>NMBS_flexabo!$C22*$AR$15</f>
        <v>855</v>
      </c>
      <c r="D28" s="102">
        <f>NMBS_flexabo!$D22*$AR$22</f>
        <v>759</v>
      </c>
      <c r="E28" s="102">
        <f>NMBS_flexabo!$E22*VLOOKUP($B$5,$AS$43:$AY$43,7,FALSE)</f>
        <v>811.35</v>
      </c>
      <c r="F28" s="102">
        <f>NMBS_flexabo!$F22*VLOOKUP($B$5,$AS$45:$AY$48,7,FALSE)</f>
        <v>795</v>
      </c>
      <c r="G28" s="104">
        <f>IFERROR(VLOOKUP($B28,NMBS_abonnementen!$G$7:$H$156,2,FALSE),"-")*VLOOKUP($B$5,NMBS_halftijds!$P$4:$Q$44,2)</f>
        <v>800.61696000000006</v>
      </c>
      <c r="H28" s="104">
        <f>IFERROR(VLOOKUP($B28,NMBS_abonnementen!$G$7:$I$156,3,FALSE)*$BB$22,"-")</f>
        <v>1164</v>
      </c>
      <c r="I28" s="104">
        <f>IFERROR(VLOOKUP($B28,NMBS_abonnementen!$G$7:$M$156,7,FALSE)*$BB$23,"-")</f>
        <v>1084</v>
      </c>
      <c r="J28" s="104" t="str">
        <f>IFERROR(VLOOKUP($B28,NMBS_abonnementen!$G$7:$Q$156,11,FALSE),"-")</f>
        <v xml:space="preserve"> 969,00</v>
      </c>
      <c r="K28" s="104">
        <f>VLOOKUP($B28,NMBS_ticketten!$G$6:$I$155,3,FALSE)*$B$5*$E$5</f>
        <v>907.2</v>
      </c>
      <c r="L28" s="101" t="str">
        <f t="shared" si="0"/>
        <v/>
      </c>
      <c r="M28" s="101">
        <f t="shared" si="1"/>
        <v>2203.2000000000003</v>
      </c>
      <c r="N28" s="103">
        <f t="shared" si="2"/>
        <v>669.6</v>
      </c>
      <c r="O28" s="174"/>
      <c r="P28" s="269">
        <f t="shared" si="3"/>
        <v>759</v>
      </c>
      <c r="Q28" s="271">
        <f t="shared" si="4"/>
        <v>759</v>
      </c>
      <c r="R28" s="208">
        <f>IFERROR(VLOOKUP($B28,NMBS_abonnementen!$G$7:$J$156,4,FALSE)*$CS$11,"-")</f>
        <v>1704</v>
      </c>
      <c r="S28" s="209">
        <f t="shared" si="5"/>
        <v>945</v>
      </c>
      <c r="T28" s="208">
        <f>IFERROR(VLOOKUP($B28,NMBS_abonnementen!$G$7:$N$156,8,FALSE)*$CS$12,"-")</f>
        <v>1556</v>
      </c>
      <c r="U28" s="209">
        <f t="shared" si="6"/>
        <v>797</v>
      </c>
      <c r="V28" s="210">
        <f>IFERROR(VLOOKUP($B28,NMBS_abonnementen!$G$7:$R$156,12,FALSE)*$CS$13,"-")</f>
        <v>1268</v>
      </c>
      <c r="W28" s="209">
        <f t="shared" si="7"/>
        <v>509</v>
      </c>
      <c r="X28" s="208">
        <f>IFERROR(VLOOKUP($B28,NMBS_abonnementen!$G$7:$K$156,5,FALSE)*$CS$18,"-")</f>
        <v>1512</v>
      </c>
      <c r="Y28" s="209">
        <f t="shared" si="8"/>
        <v>753</v>
      </c>
      <c r="Z28" s="208">
        <f>IFERROR(VLOOKUP($B28,NMBS_abonnementen!$G$7:$O$156,9,FALSE)*$CS$19,"-")</f>
        <v>1352</v>
      </c>
      <c r="AA28" s="209">
        <f t="shared" si="9"/>
        <v>593</v>
      </c>
      <c r="AB28" s="210">
        <f>IFERROR(VLOOKUP($B28,NMBS_abonnementen!$G$7:$S$156,13,FALSE),"-")</f>
        <v>1144</v>
      </c>
      <c r="AC28" s="198">
        <f t="shared" si="17"/>
        <v>720</v>
      </c>
      <c r="AD28" s="198">
        <f t="shared" si="10"/>
        <v>50.399999999999977</v>
      </c>
      <c r="AE28" s="198">
        <f t="shared" si="11"/>
        <v>484</v>
      </c>
      <c r="AF28" s="198">
        <f t="shared" si="12"/>
        <v>-236</v>
      </c>
      <c r="AH28" s="198">
        <f t="shared" si="13"/>
        <v>669.6</v>
      </c>
      <c r="AI28" s="198">
        <f t="shared" si="14"/>
        <v>185.60000000000002</v>
      </c>
      <c r="AJ28" s="198">
        <f t="shared" si="15"/>
        <v>669.6</v>
      </c>
      <c r="AK28" s="198">
        <f t="shared" si="16"/>
        <v>0</v>
      </c>
      <c r="AL28" s="179"/>
      <c r="AM28" s="175"/>
      <c r="AN28" s="175"/>
      <c r="AX28" s="181"/>
      <c r="AY28" s="181"/>
      <c r="BA28" s="230" t="s">
        <v>50</v>
      </c>
      <c r="BB28" s="244" t="s">
        <v>51</v>
      </c>
      <c r="BC28" s="244" t="s">
        <v>69</v>
      </c>
      <c r="BD28" s="244" t="s">
        <v>70</v>
      </c>
      <c r="BE28" s="245" t="s">
        <v>71</v>
      </c>
      <c r="BG28" s="222">
        <v>5</v>
      </c>
      <c r="BH28" s="246">
        <f>BG28*$E$5</f>
        <v>225</v>
      </c>
      <c r="BI28" s="217">
        <v>5</v>
      </c>
      <c r="BJ28" s="217">
        <f>BH28/$BI$24</f>
        <v>45</v>
      </c>
      <c r="BK28" s="218"/>
      <c r="BN28" s="319" t="s">
        <v>72</v>
      </c>
      <c r="BO28" s="317"/>
      <c r="BP28" s="317"/>
      <c r="BQ28" s="317"/>
      <c r="BR28" s="318"/>
      <c r="BT28" s="247"/>
      <c r="BU28" s="247"/>
      <c r="BV28" s="247"/>
      <c r="BW28" s="247"/>
      <c r="BX28" s="247"/>
      <c r="BY28" s="181"/>
      <c r="BZ28" s="316" t="s">
        <v>61</v>
      </c>
      <c r="CA28" s="317"/>
      <c r="CB28" s="317"/>
      <c r="CC28" s="317"/>
      <c r="CD28" s="318"/>
      <c r="CF28" s="319" t="s">
        <v>62</v>
      </c>
      <c r="CG28" s="317"/>
      <c r="CH28" s="317"/>
      <c r="CI28" s="317"/>
      <c r="CJ28" s="318"/>
    </row>
    <row r="29" spans="2:98" ht="12" customHeight="1">
      <c r="B29" s="110">
        <v>19</v>
      </c>
      <c r="C29" s="102">
        <f>NMBS_flexabo!$C23*$AR$15</f>
        <v>882</v>
      </c>
      <c r="D29" s="102">
        <f>NMBS_flexabo!$D23*$AR$22</f>
        <v>781</v>
      </c>
      <c r="E29" s="102">
        <f>NMBS_flexabo!$E23*VLOOKUP($B$5,$AS$43:$AY$43,7,FALSE)</f>
        <v>839.7</v>
      </c>
      <c r="F29" s="102">
        <f>NMBS_flexabo!$F23*VLOOKUP($B$5,$AS$45:$AY$48,7,FALSE)</f>
        <v>823</v>
      </c>
      <c r="G29" s="104">
        <f>IFERROR(VLOOKUP($B29,NMBS_abonnementen!$G$7:$H$156,2,FALSE),"-")*VLOOKUP($B$5,NMBS_halftijds!$P$4:$Q$44,2)</f>
        <v>824.87808000000007</v>
      </c>
      <c r="H29" s="104">
        <f>IFERROR(VLOOKUP($B29,NMBS_abonnementen!$G$7:$I$156,3,FALSE)*$BB$22,"-")</f>
        <v>1200</v>
      </c>
      <c r="I29" s="104">
        <f>IFERROR(VLOOKUP($B29,NMBS_abonnementen!$G$7:$M$156,7,FALSE)*$BB$23,"-")</f>
        <v>1124</v>
      </c>
      <c r="J29" s="104" t="str">
        <f>IFERROR(VLOOKUP($B29,NMBS_abonnementen!$G$7:$Q$156,11,FALSE),"-")</f>
        <v xml:space="preserve"> 1003,00</v>
      </c>
      <c r="K29" s="104">
        <f>VLOOKUP($B29,NMBS_ticketten!$G$6:$I$155,3,FALSE)*$B$5*$E$5</f>
        <v>950.40000000000009</v>
      </c>
      <c r="L29" s="101" t="str">
        <f t="shared" si="0"/>
        <v/>
      </c>
      <c r="M29" s="101">
        <f t="shared" si="1"/>
        <v>2203.2000000000003</v>
      </c>
      <c r="N29" s="103">
        <f t="shared" si="2"/>
        <v>669.6</v>
      </c>
      <c r="O29" s="174"/>
      <c r="P29" s="269">
        <f t="shared" si="3"/>
        <v>781</v>
      </c>
      <c r="Q29" s="271">
        <f t="shared" si="4"/>
        <v>781</v>
      </c>
      <c r="R29" s="208">
        <f>IFERROR(VLOOKUP($B29,NMBS_abonnementen!$G$7:$J$156,4,FALSE)*$CS$11,"-")</f>
        <v>1740</v>
      </c>
      <c r="S29" s="209">
        <f t="shared" si="5"/>
        <v>959</v>
      </c>
      <c r="T29" s="208">
        <f>IFERROR(VLOOKUP($B29,NMBS_abonnementen!$G$7:$N$156,8,FALSE)*$CS$12,"-")</f>
        <v>1596</v>
      </c>
      <c r="U29" s="209">
        <f t="shared" si="6"/>
        <v>815</v>
      </c>
      <c r="V29" s="210">
        <f>IFERROR(VLOOKUP($B29,NMBS_abonnementen!$G$7:$R$156,12,FALSE)*$CS$13,"-")</f>
        <v>1302</v>
      </c>
      <c r="W29" s="209">
        <f t="shared" si="7"/>
        <v>521</v>
      </c>
      <c r="X29" s="208">
        <f>IFERROR(VLOOKUP($B29,NMBS_abonnementen!$G$7:$K$156,5,FALSE)*$CS$18,"-")</f>
        <v>1548</v>
      </c>
      <c r="Y29" s="209">
        <f t="shared" si="8"/>
        <v>767</v>
      </c>
      <c r="Z29" s="208">
        <f>IFERROR(VLOOKUP($B29,NMBS_abonnementen!$G$7:$O$156,9,FALSE)*$CS$19,"-")</f>
        <v>1392</v>
      </c>
      <c r="AA29" s="209">
        <f t="shared" si="9"/>
        <v>611</v>
      </c>
      <c r="AB29" s="210">
        <f>IFERROR(VLOOKUP($B29,NMBS_abonnementen!$G$7:$S$156,13,FALSE),"-")</f>
        <v>1178</v>
      </c>
      <c r="AC29" s="198">
        <f t="shared" si="17"/>
        <v>720</v>
      </c>
      <c r="AD29" s="198">
        <f t="shared" si="10"/>
        <v>50.399999999999977</v>
      </c>
      <c r="AE29" s="198">
        <f t="shared" si="11"/>
        <v>484</v>
      </c>
      <c r="AF29" s="198">
        <f t="shared" si="12"/>
        <v>-236</v>
      </c>
      <c r="AH29" s="198">
        <f t="shared" si="13"/>
        <v>669.6</v>
      </c>
      <c r="AI29" s="198">
        <f t="shared" si="14"/>
        <v>185.60000000000002</v>
      </c>
      <c r="AJ29" s="198">
        <f t="shared" si="15"/>
        <v>669.6</v>
      </c>
      <c r="AK29" s="198">
        <f t="shared" si="16"/>
        <v>0</v>
      </c>
      <c r="AL29" s="179"/>
      <c r="AM29" s="175"/>
      <c r="AN29" s="175"/>
      <c r="AX29" s="181"/>
      <c r="AY29" s="181"/>
      <c r="AZ29" s="173"/>
      <c r="BA29" s="216">
        <f>$B$5</f>
        <v>2.4</v>
      </c>
      <c r="BB29" s="235">
        <f>$BA$29*$E$5</f>
        <v>108</v>
      </c>
      <c r="BC29" s="217">
        <v>5</v>
      </c>
      <c r="BD29" s="217">
        <f>BB29/$BC$29</f>
        <v>21.6</v>
      </c>
      <c r="BE29" s="218">
        <f>BD29*$BA$27</f>
        <v>2203.2000000000003</v>
      </c>
      <c r="BN29" s="200">
        <v>7.5</v>
      </c>
      <c r="BO29" s="201"/>
      <c r="BP29" s="201"/>
      <c r="BQ29" s="201"/>
      <c r="BR29" s="202"/>
      <c r="BT29" s="247"/>
      <c r="BU29" s="247"/>
      <c r="BV29" s="247"/>
      <c r="BW29" s="247"/>
      <c r="BX29" s="247"/>
      <c r="BY29" s="181"/>
      <c r="BZ29" s="200">
        <v>3286</v>
      </c>
      <c r="CA29" s="201"/>
      <c r="CB29" s="201">
        <v>1</v>
      </c>
      <c r="CC29" s="201"/>
      <c r="CD29" s="202"/>
      <c r="CF29" s="200">
        <v>29</v>
      </c>
      <c r="CG29" s="201"/>
      <c r="CH29" s="201" t="s">
        <v>73</v>
      </c>
      <c r="CI29" s="201"/>
      <c r="CJ29" s="202"/>
    </row>
    <row r="30" spans="2:98" ht="12" customHeight="1">
      <c r="B30" s="110">
        <v>20</v>
      </c>
      <c r="C30" s="102">
        <f>NMBS_flexabo!$C24*$AR$15</f>
        <v>918</v>
      </c>
      <c r="D30" s="102">
        <f>NMBS_flexabo!$D24*$AR$22</f>
        <v>814</v>
      </c>
      <c r="E30" s="102">
        <f>NMBS_flexabo!$E24*VLOOKUP($B$5,$AS$43:$AY$43,7,FALSE)</f>
        <v>868.05000000000007</v>
      </c>
      <c r="F30" s="102">
        <f>NMBS_flexabo!$F24*VLOOKUP($B$5,$AS$45:$AY$48,7,FALSE)</f>
        <v>850</v>
      </c>
      <c r="G30" s="104">
        <f>IFERROR(VLOOKUP($B30,NMBS_abonnementen!$G$7:$H$156,2,FALSE),"-")*VLOOKUP($B$5,NMBS_halftijds!$P$4:$Q$44,2)</f>
        <v>861.26976000000002</v>
      </c>
      <c r="H30" s="104">
        <f>IFERROR(VLOOKUP($B30,NMBS_abonnementen!$G$7:$I$156,3,FALSE)*$BB$22,"-")</f>
        <v>1248</v>
      </c>
      <c r="I30" s="104">
        <f>IFERROR(VLOOKUP($B30,NMBS_abonnementen!$G$7:$M$156,7,FALSE)*$BB$23,"-")</f>
        <v>1160</v>
      </c>
      <c r="J30" s="104" t="str">
        <f>IFERROR(VLOOKUP($B30,NMBS_abonnementen!$G$7:$Q$156,11,FALSE),"-")</f>
        <v xml:space="preserve"> 1037,00</v>
      </c>
      <c r="K30" s="104">
        <f>VLOOKUP($B30,NMBS_ticketten!$G$6:$I$155,3,FALSE)*$B$5*$E$5</f>
        <v>993.59999999999991</v>
      </c>
      <c r="L30" s="101" t="str">
        <f t="shared" si="0"/>
        <v/>
      </c>
      <c r="M30" s="101">
        <f t="shared" si="1"/>
        <v>2203.2000000000003</v>
      </c>
      <c r="N30" s="103">
        <f t="shared" si="2"/>
        <v>669.6</v>
      </c>
      <c r="O30" s="174"/>
      <c r="P30" s="269">
        <f t="shared" si="3"/>
        <v>814</v>
      </c>
      <c r="Q30" s="271">
        <f t="shared" si="4"/>
        <v>814</v>
      </c>
      <c r="R30" s="208">
        <f>IFERROR(VLOOKUP($B30,NMBS_abonnementen!$G$7:$J$156,4,FALSE)*$CS$11,"-")</f>
        <v>1788</v>
      </c>
      <c r="S30" s="209">
        <f t="shared" si="5"/>
        <v>974</v>
      </c>
      <c r="T30" s="208">
        <f>IFERROR(VLOOKUP($B30,NMBS_abonnementen!$G$7:$N$156,8,FALSE)*$CS$12,"-")</f>
        <v>1632</v>
      </c>
      <c r="U30" s="209">
        <f t="shared" si="6"/>
        <v>818</v>
      </c>
      <c r="V30" s="210">
        <f>IFERROR(VLOOKUP($B30,NMBS_abonnementen!$G$7:$R$156,12,FALSE)*$CS$13,"-")</f>
        <v>1336</v>
      </c>
      <c r="W30" s="209">
        <f t="shared" si="7"/>
        <v>522</v>
      </c>
      <c r="X30" s="208">
        <f>IFERROR(VLOOKUP($B30,NMBS_abonnementen!$G$7:$K$156,5,FALSE)*$CS$18,"-")</f>
        <v>1596</v>
      </c>
      <c r="Y30" s="209">
        <f t="shared" si="8"/>
        <v>782</v>
      </c>
      <c r="Z30" s="208">
        <f>IFERROR(VLOOKUP($B30,NMBS_abonnementen!$G$7:$O$156,9,FALSE)*$CS$19,"-")</f>
        <v>1428</v>
      </c>
      <c r="AA30" s="209">
        <f t="shared" si="9"/>
        <v>614</v>
      </c>
      <c r="AB30" s="210">
        <f>IFERROR(VLOOKUP($B30,NMBS_abonnementen!$G$7:$S$156,13,FALSE),"-")</f>
        <v>1212</v>
      </c>
      <c r="AC30" s="198">
        <f t="shared" si="17"/>
        <v>720</v>
      </c>
      <c r="AD30" s="198">
        <f t="shared" si="10"/>
        <v>50.399999999999977</v>
      </c>
      <c r="AE30" s="198">
        <f t="shared" si="11"/>
        <v>484</v>
      </c>
      <c r="AF30" s="198">
        <f t="shared" si="12"/>
        <v>-236</v>
      </c>
      <c r="AH30" s="198">
        <f t="shared" si="13"/>
        <v>669.6</v>
      </c>
      <c r="AI30" s="198">
        <f t="shared" si="14"/>
        <v>185.60000000000002</v>
      </c>
      <c r="AJ30" s="198">
        <f t="shared" si="15"/>
        <v>669.6</v>
      </c>
      <c r="AK30" s="198">
        <f t="shared" si="16"/>
        <v>0</v>
      </c>
      <c r="AL30" s="179"/>
      <c r="AM30" s="175"/>
      <c r="AN30" s="175"/>
      <c r="AX30" s="181"/>
      <c r="AY30" s="181"/>
      <c r="BA30" s="181" t="s">
        <v>74</v>
      </c>
      <c r="BB30" s="235">
        <v>3</v>
      </c>
      <c r="BC30" s="217">
        <f>$BB$30*$BD$29</f>
        <v>64.800000000000011</v>
      </c>
      <c r="BD30" s="217"/>
      <c r="BE30" s="218"/>
      <c r="BN30" s="200"/>
      <c r="BO30" s="201"/>
      <c r="BP30" s="201"/>
      <c r="BQ30" s="201"/>
      <c r="BR30" s="202"/>
      <c r="BT30" s="247"/>
      <c r="BU30" s="247"/>
      <c r="BV30" s="247"/>
      <c r="BW30" s="247"/>
      <c r="BX30" s="247"/>
      <c r="BY30" s="181"/>
      <c r="BZ30" s="200"/>
      <c r="CA30" s="201"/>
      <c r="CB30" s="201"/>
      <c r="CC30" s="201"/>
      <c r="CD30" s="202"/>
      <c r="CF30" s="200"/>
      <c r="CG30" s="201"/>
      <c r="CH30" s="201"/>
      <c r="CI30" s="201"/>
      <c r="CJ30" s="202"/>
    </row>
    <row r="31" spans="2:98" ht="12" customHeight="1">
      <c r="B31" s="110">
        <v>21</v>
      </c>
      <c r="C31" s="102">
        <f>NMBS_flexabo!$C25*$AR$15</f>
        <v>936</v>
      </c>
      <c r="D31" s="102">
        <f>NMBS_flexabo!$D25*$AR$22</f>
        <v>836</v>
      </c>
      <c r="E31" s="102">
        <f>NMBS_flexabo!$E25*VLOOKUP($B$5,$AS$43:$AY$43,7,FALSE)</f>
        <v>896.40000000000009</v>
      </c>
      <c r="F31" s="102">
        <f>NMBS_flexabo!$F25*VLOOKUP($B$5,$AS$45:$AY$48,7,FALSE)</f>
        <v>878</v>
      </c>
      <c r="G31" s="104">
        <f>IFERROR(VLOOKUP($B31,NMBS_abonnementen!$G$7:$H$156,2,FALSE),"-")*VLOOKUP($B$5,NMBS_halftijds!$P$4:$Q$44,2)</f>
        <v>885.53088000000002</v>
      </c>
      <c r="H31" s="104">
        <f>IFERROR(VLOOKUP($B31,NMBS_abonnementen!$G$7:$I$156,3,FALSE)*$BB$22,"-")</f>
        <v>1284</v>
      </c>
      <c r="I31" s="104">
        <f>IFERROR(VLOOKUP($B31,NMBS_abonnementen!$G$7:$M$156,7,FALSE)*$BB$23,"-")</f>
        <v>1200</v>
      </c>
      <c r="J31" s="104" t="str">
        <f>IFERROR(VLOOKUP($B31,NMBS_abonnementen!$G$7:$Q$156,11,FALSE),"-")</f>
        <v xml:space="preserve"> 1071,00</v>
      </c>
      <c r="K31" s="104">
        <f>VLOOKUP($B31,NMBS_ticketten!$G$6:$I$155,3,FALSE)*$B$5*$E$5</f>
        <v>1015.1999999999999</v>
      </c>
      <c r="L31" s="101" t="str">
        <f t="shared" si="0"/>
        <v/>
      </c>
      <c r="M31" s="101">
        <f t="shared" si="1"/>
        <v>2203.2000000000003</v>
      </c>
      <c r="N31" s="103">
        <f t="shared" si="2"/>
        <v>669.6</v>
      </c>
      <c r="O31" s="174"/>
      <c r="P31" s="269">
        <f t="shared" si="3"/>
        <v>836</v>
      </c>
      <c r="Q31" s="271">
        <f t="shared" si="4"/>
        <v>836</v>
      </c>
      <c r="R31" s="208">
        <f>IFERROR(VLOOKUP($B31,NMBS_abonnementen!$G$7:$J$156,4,FALSE)*$CS$11,"-")</f>
        <v>1824</v>
      </c>
      <c r="S31" s="209">
        <f t="shared" si="5"/>
        <v>988</v>
      </c>
      <c r="T31" s="208">
        <f>IFERROR(VLOOKUP($B31,NMBS_abonnementen!$G$7:$N$156,8,FALSE)*$CS$12,"-")</f>
        <v>1672</v>
      </c>
      <c r="U31" s="209">
        <f t="shared" si="6"/>
        <v>836</v>
      </c>
      <c r="V31" s="210">
        <f>IFERROR(VLOOKUP($B31,NMBS_abonnementen!$G$7:$R$156,12,FALSE)*$CS$13,"-")</f>
        <v>1370</v>
      </c>
      <c r="W31" s="209">
        <f t="shared" si="7"/>
        <v>534</v>
      </c>
      <c r="X31" s="208">
        <f>IFERROR(VLOOKUP($B31,NMBS_abonnementen!$G$7:$K$156,5,FALSE)*$CS$18,"-")</f>
        <v>1632</v>
      </c>
      <c r="Y31" s="209">
        <f t="shared" si="8"/>
        <v>796</v>
      </c>
      <c r="Z31" s="208">
        <f>IFERROR(VLOOKUP($B31,NMBS_abonnementen!$G$7:$O$156,9,FALSE)*$CS$19,"-")</f>
        <v>1468</v>
      </c>
      <c r="AA31" s="209">
        <f t="shared" si="9"/>
        <v>632</v>
      </c>
      <c r="AB31" s="210">
        <f>IFERROR(VLOOKUP($B31,NMBS_abonnementen!$G$7:$S$156,13,FALSE),"-")</f>
        <v>1246</v>
      </c>
      <c r="AC31" s="198">
        <f t="shared" si="17"/>
        <v>720</v>
      </c>
      <c r="AD31" s="198">
        <f t="shared" si="10"/>
        <v>50.399999999999977</v>
      </c>
      <c r="AE31" s="198">
        <f t="shared" si="11"/>
        <v>484</v>
      </c>
      <c r="AF31" s="198">
        <f t="shared" si="12"/>
        <v>-236</v>
      </c>
      <c r="AH31" s="198">
        <f t="shared" si="13"/>
        <v>669.6</v>
      </c>
      <c r="AI31" s="198">
        <f t="shared" si="14"/>
        <v>185.60000000000002</v>
      </c>
      <c r="AJ31" s="198">
        <f t="shared" si="15"/>
        <v>669.6</v>
      </c>
      <c r="AK31" s="198">
        <f t="shared" si="16"/>
        <v>0</v>
      </c>
      <c r="AL31" s="179"/>
      <c r="AM31" s="175"/>
      <c r="AN31" s="175"/>
      <c r="AP31" s="248"/>
      <c r="AQ31" s="248"/>
      <c r="AX31" s="181"/>
      <c r="AY31" s="181"/>
      <c r="BA31" s="181" t="s">
        <v>12</v>
      </c>
      <c r="BB31" s="181">
        <v>0</v>
      </c>
      <c r="BC31" s="181">
        <v>0</v>
      </c>
      <c r="BF31" s="173"/>
      <c r="BG31" s="297" t="s">
        <v>75</v>
      </c>
      <c r="BH31" s="298"/>
      <c r="BI31" s="298"/>
      <c r="BJ31" s="298"/>
      <c r="BK31" s="299"/>
      <c r="BN31" s="224">
        <v>1</v>
      </c>
      <c r="BO31" s="225">
        <f>BN31*$E$5</f>
        <v>45</v>
      </c>
      <c r="BP31" s="226">
        <v>1</v>
      </c>
      <c r="BQ31" s="226">
        <f>BO31/BP31</f>
        <v>45</v>
      </c>
      <c r="BR31" s="227">
        <f>BQ31*$BN$29</f>
        <v>337.5</v>
      </c>
      <c r="BT31" s="247"/>
      <c r="BU31" s="247"/>
      <c r="BV31" s="247"/>
      <c r="BW31" s="247"/>
      <c r="BX31" s="247"/>
      <c r="BY31" s="181"/>
      <c r="BZ31" s="224">
        <v>1</v>
      </c>
      <c r="CA31" s="225">
        <f>BZ31*$E$5</f>
        <v>45</v>
      </c>
      <c r="CB31" s="226">
        <f>$CB$29</f>
        <v>1</v>
      </c>
      <c r="CC31" s="226">
        <f>CB31*$BZ$29</f>
        <v>3286</v>
      </c>
      <c r="CD31" s="227">
        <f>CC31</f>
        <v>3286</v>
      </c>
      <c r="CF31" s="224">
        <v>1</v>
      </c>
      <c r="CG31" s="225">
        <f>CF31*$E$5</f>
        <v>45</v>
      </c>
      <c r="CH31" s="226">
        <v>12</v>
      </c>
      <c r="CI31" s="226">
        <f>CH31*$CF$29</f>
        <v>348</v>
      </c>
      <c r="CJ31" s="227">
        <f>CI31</f>
        <v>348</v>
      </c>
    </row>
    <row r="32" spans="2:98" ht="12" customHeight="1">
      <c r="B32" s="110">
        <v>22</v>
      </c>
      <c r="C32" s="102">
        <f>NMBS_flexabo!$C26*$AR$15</f>
        <v>972</v>
      </c>
      <c r="D32" s="102">
        <f>NMBS_flexabo!$D26*$AR$22</f>
        <v>858</v>
      </c>
      <c r="E32" s="102">
        <f>NMBS_flexabo!$E26*VLOOKUP($B$5,$AS$43:$AY$43,7,FALSE)</f>
        <v>924.75000000000011</v>
      </c>
      <c r="F32" s="102">
        <f>NMBS_flexabo!$F26*VLOOKUP($B$5,$AS$45:$AY$48,7,FALSE)</f>
        <v>906</v>
      </c>
      <c r="G32" s="104">
        <f>IFERROR(VLOOKUP($B32,NMBS_abonnementen!$G$7:$H$156,2,FALSE),"-")*VLOOKUP($B$5,NMBS_halftijds!$P$4:$Q$44,2)</f>
        <v>909.79200000000003</v>
      </c>
      <c r="H32" s="104">
        <f>IFERROR(VLOOKUP($B32,NMBS_abonnementen!$G$7:$I$156,3,FALSE)*$BB$22,"-")</f>
        <v>1320</v>
      </c>
      <c r="I32" s="104">
        <f>IFERROR(VLOOKUP($B32,NMBS_abonnementen!$G$7:$M$156,7,FALSE)*$BB$23,"-")</f>
        <v>1236</v>
      </c>
      <c r="J32" s="104" t="str">
        <f>IFERROR(VLOOKUP($B32,NMBS_abonnementen!$G$7:$Q$156,11,FALSE),"-")</f>
        <v xml:space="preserve"> 1105,00</v>
      </c>
      <c r="K32" s="104">
        <f>VLOOKUP($B32,NMBS_ticketten!$G$6:$I$155,3,FALSE)*$B$5*$E$5</f>
        <v>1058.4000000000001</v>
      </c>
      <c r="L32" s="101" t="str">
        <f t="shared" si="0"/>
        <v/>
      </c>
      <c r="M32" s="101">
        <f t="shared" si="1"/>
        <v>2203.2000000000003</v>
      </c>
      <c r="N32" s="103">
        <f t="shared" si="2"/>
        <v>669.6</v>
      </c>
      <c r="O32" s="174"/>
      <c r="P32" s="269">
        <f t="shared" si="3"/>
        <v>858</v>
      </c>
      <c r="Q32" s="271">
        <f t="shared" si="4"/>
        <v>858</v>
      </c>
      <c r="R32" s="208">
        <f>IFERROR(VLOOKUP($B32,NMBS_abonnementen!$G$7:$J$156,4,FALSE)*$CS$11,"-")</f>
        <v>1860</v>
      </c>
      <c r="S32" s="209">
        <f t="shared" si="5"/>
        <v>1002</v>
      </c>
      <c r="T32" s="208">
        <f>IFERROR(VLOOKUP($B32,NMBS_abonnementen!$G$7:$N$156,8,FALSE)*$CS$12,"-")</f>
        <v>1708</v>
      </c>
      <c r="U32" s="209">
        <f t="shared" si="6"/>
        <v>850</v>
      </c>
      <c r="V32" s="210">
        <f>IFERROR(VLOOKUP($B32,NMBS_abonnementen!$G$7:$R$156,12,FALSE)*$CS$13,"-")</f>
        <v>1404</v>
      </c>
      <c r="W32" s="209">
        <f t="shared" si="7"/>
        <v>546</v>
      </c>
      <c r="X32" s="208">
        <f>IFERROR(VLOOKUP($B32,NMBS_abonnementen!$G$7:$K$156,5,FALSE)*$CS$18,"-")</f>
        <v>1668</v>
      </c>
      <c r="Y32" s="209">
        <f t="shared" si="8"/>
        <v>810</v>
      </c>
      <c r="Z32" s="208">
        <f>IFERROR(VLOOKUP($B32,NMBS_abonnementen!$G$7:$O$156,9,FALSE)*$CS$19,"-")</f>
        <v>1504</v>
      </c>
      <c r="AA32" s="209">
        <f t="shared" si="9"/>
        <v>646</v>
      </c>
      <c r="AB32" s="210">
        <f>IFERROR(VLOOKUP($B32,NMBS_abonnementen!$G$7:$S$156,13,FALSE),"-")</f>
        <v>1280</v>
      </c>
      <c r="AC32" s="198">
        <f t="shared" si="17"/>
        <v>720</v>
      </c>
      <c r="AD32" s="198">
        <f t="shared" si="10"/>
        <v>50.399999999999977</v>
      </c>
      <c r="AE32" s="198">
        <f t="shared" si="11"/>
        <v>484</v>
      </c>
      <c r="AF32" s="198">
        <f t="shared" si="12"/>
        <v>-236</v>
      </c>
      <c r="AH32" s="198">
        <f t="shared" si="13"/>
        <v>669.6</v>
      </c>
      <c r="AI32" s="198">
        <f t="shared" si="14"/>
        <v>185.60000000000002</v>
      </c>
      <c r="AJ32" s="198">
        <f t="shared" si="15"/>
        <v>669.6</v>
      </c>
      <c r="AK32" s="198">
        <f t="shared" si="16"/>
        <v>0</v>
      </c>
      <c r="AL32" s="179"/>
      <c r="AM32" s="175"/>
      <c r="AN32" s="175"/>
      <c r="AP32" s="248"/>
      <c r="AX32" s="181"/>
      <c r="AY32" s="181"/>
      <c r="BG32" s="243"/>
      <c r="BH32" s="231"/>
      <c r="BI32" s="231"/>
      <c r="BJ32" s="231"/>
      <c r="BK32" s="232"/>
      <c r="BN32" s="224">
        <v>2</v>
      </c>
      <c r="BO32" s="225">
        <f>BN32*$E$5</f>
        <v>90</v>
      </c>
      <c r="BP32" s="226">
        <v>1</v>
      </c>
      <c r="BQ32" s="226">
        <f>BO32/BP32</f>
        <v>90</v>
      </c>
      <c r="BR32" s="227">
        <f>BQ32*$BN$29</f>
        <v>675</v>
      </c>
      <c r="BT32" s="247"/>
      <c r="BU32" s="247"/>
      <c r="BV32" s="247"/>
      <c r="BW32" s="247"/>
      <c r="BX32" s="247"/>
      <c r="BY32" s="181"/>
      <c r="BZ32" s="224">
        <v>2</v>
      </c>
      <c r="CA32" s="225">
        <f>BZ32*$E$5</f>
        <v>90</v>
      </c>
      <c r="CB32" s="226">
        <f>$CB$29</f>
        <v>1</v>
      </c>
      <c r="CC32" s="226">
        <f>CB32*$BZ$29</f>
        <v>3286</v>
      </c>
      <c r="CD32" s="227">
        <f>CC32</f>
        <v>3286</v>
      </c>
      <c r="CF32" s="224">
        <v>2</v>
      </c>
      <c r="CG32" s="225">
        <f>CF32*$E$5</f>
        <v>90</v>
      </c>
      <c r="CH32" s="226">
        <v>12</v>
      </c>
      <c r="CI32" s="226">
        <f>CH32*$CF$29</f>
        <v>348</v>
      </c>
      <c r="CJ32" s="227">
        <f>CI32</f>
        <v>348</v>
      </c>
    </row>
    <row r="33" spans="2:88" ht="12" customHeight="1">
      <c r="B33" s="110">
        <v>23</v>
      </c>
      <c r="C33" s="102">
        <f>NMBS_flexabo!$C27*$AR$15</f>
        <v>1008</v>
      </c>
      <c r="D33" s="102">
        <f>NMBS_flexabo!$D27*$AR$22</f>
        <v>891</v>
      </c>
      <c r="E33" s="102">
        <f>NMBS_flexabo!$E27*VLOOKUP($B$5,$AS$43:$AY$43,7,FALSE)</f>
        <v>953.1</v>
      </c>
      <c r="F33" s="102">
        <f>NMBS_flexabo!$F27*VLOOKUP($B$5,$AS$45:$AY$48,7,FALSE)</f>
        <v>933</v>
      </c>
      <c r="G33" s="104">
        <f>IFERROR(VLOOKUP($B33,NMBS_abonnementen!$G$7:$H$156,2,FALSE),"-")*VLOOKUP($B$5,NMBS_halftijds!$P$4:$Q$44,2)</f>
        <v>946.18368000000009</v>
      </c>
      <c r="H33" s="104">
        <f>IFERROR(VLOOKUP($B33,NMBS_abonnementen!$G$7:$I$156,3,FALSE)*$BB$22,"-")</f>
        <v>1368</v>
      </c>
      <c r="I33" s="104">
        <f>IFERROR(VLOOKUP($B33,NMBS_abonnementen!$G$7:$M$156,7,FALSE)*$BB$23,"-")</f>
        <v>1276</v>
      </c>
      <c r="J33" s="104" t="str">
        <f>IFERROR(VLOOKUP($B33,NMBS_abonnementen!$G$7:$Q$156,11,FALSE),"-")</f>
        <v xml:space="preserve"> 1138,00</v>
      </c>
      <c r="K33" s="104">
        <f>VLOOKUP($B33,NMBS_ticketten!$G$6:$I$155,3,FALSE)*$B$5*$E$5</f>
        <v>1080</v>
      </c>
      <c r="L33" s="101" t="str">
        <f t="shared" si="0"/>
        <v/>
      </c>
      <c r="M33" s="101">
        <f t="shared" si="1"/>
        <v>2203.2000000000003</v>
      </c>
      <c r="N33" s="103">
        <f t="shared" si="2"/>
        <v>669.6</v>
      </c>
      <c r="O33" s="174"/>
      <c r="P33" s="269">
        <f t="shared" si="3"/>
        <v>891</v>
      </c>
      <c r="Q33" s="271">
        <f t="shared" si="4"/>
        <v>891</v>
      </c>
      <c r="R33" s="208">
        <f>IFERROR(VLOOKUP($B33,NMBS_abonnementen!$G$7:$J$156,4,FALSE)*$CS$11,"-")</f>
        <v>1908</v>
      </c>
      <c r="S33" s="209">
        <f t="shared" si="5"/>
        <v>1017</v>
      </c>
      <c r="T33" s="208">
        <f>IFERROR(VLOOKUP($B33,NMBS_abonnementen!$G$7:$N$156,8,FALSE)*$CS$12,"-")</f>
        <v>1748</v>
      </c>
      <c r="U33" s="209">
        <f t="shared" si="6"/>
        <v>857</v>
      </c>
      <c r="V33" s="210">
        <f>IFERROR(VLOOKUP($B33,NMBS_abonnementen!$G$7:$R$156,12,FALSE)*$CS$13,"-")</f>
        <v>1437</v>
      </c>
      <c r="W33" s="209">
        <f t="shared" si="7"/>
        <v>546</v>
      </c>
      <c r="X33" s="208">
        <f>IFERROR(VLOOKUP($B33,NMBS_abonnementen!$G$7:$K$156,5,FALSE)*$CS$18,"-")</f>
        <v>1716</v>
      </c>
      <c r="Y33" s="209">
        <f t="shared" si="8"/>
        <v>825</v>
      </c>
      <c r="Z33" s="208">
        <f>IFERROR(VLOOKUP($B33,NMBS_abonnementen!$G$7:$O$156,9,FALSE)*$CS$19,"-")</f>
        <v>1544</v>
      </c>
      <c r="AA33" s="209">
        <f t="shared" si="9"/>
        <v>653</v>
      </c>
      <c r="AB33" s="210">
        <f>IFERROR(VLOOKUP($B33,NMBS_abonnementen!$G$7:$S$156,13,FALSE),"-")</f>
        <v>1313</v>
      </c>
      <c r="AC33" s="198">
        <f t="shared" si="17"/>
        <v>720</v>
      </c>
      <c r="AD33" s="198">
        <f t="shared" si="10"/>
        <v>50.399999999999977</v>
      </c>
      <c r="AE33" s="198">
        <f t="shared" si="11"/>
        <v>484</v>
      </c>
      <c r="AF33" s="198">
        <f t="shared" si="12"/>
        <v>-236</v>
      </c>
      <c r="AH33" s="198">
        <f t="shared" si="13"/>
        <v>669.6</v>
      </c>
      <c r="AI33" s="198">
        <f t="shared" si="14"/>
        <v>185.60000000000002</v>
      </c>
      <c r="AJ33" s="198">
        <f t="shared" si="15"/>
        <v>669.6</v>
      </c>
      <c r="AK33" s="198">
        <f t="shared" si="16"/>
        <v>0</v>
      </c>
      <c r="AL33" s="179"/>
      <c r="AM33" s="175"/>
      <c r="AN33" s="175"/>
      <c r="AX33" s="181"/>
      <c r="AY33" s="181"/>
      <c r="BG33" s="243"/>
      <c r="BH33" s="231"/>
      <c r="BI33" s="231"/>
      <c r="BJ33" s="231"/>
      <c r="BK33" s="232"/>
      <c r="BN33" s="224">
        <v>3</v>
      </c>
      <c r="BO33" s="225">
        <f>BN33*$E$5</f>
        <v>135</v>
      </c>
      <c r="BP33" s="226">
        <v>1</v>
      </c>
      <c r="BQ33" s="226">
        <f>BO33/BP33</f>
        <v>135</v>
      </c>
      <c r="BR33" s="227">
        <f>BQ33*$BN$29</f>
        <v>1012.5</v>
      </c>
      <c r="BT33" s="247"/>
      <c r="BU33" s="247"/>
      <c r="BV33" s="247"/>
      <c r="BW33" s="247"/>
      <c r="BX33" s="247"/>
      <c r="BY33" s="181"/>
      <c r="BZ33" s="224">
        <v>3</v>
      </c>
      <c r="CA33" s="225">
        <f>BZ33*$E$5</f>
        <v>135</v>
      </c>
      <c r="CB33" s="226">
        <f>$CB$29</f>
        <v>1</v>
      </c>
      <c r="CC33" s="226">
        <f>CB33*$BZ$29</f>
        <v>3286</v>
      </c>
      <c r="CD33" s="227">
        <f>CC33</f>
        <v>3286</v>
      </c>
      <c r="CF33" s="224">
        <v>3</v>
      </c>
      <c r="CG33" s="225">
        <f>CF33*$E$5</f>
        <v>135</v>
      </c>
      <c r="CH33" s="226">
        <v>12</v>
      </c>
      <c r="CI33" s="226">
        <f>CH33*$CF$29</f>
        <v>348</v>
      </c>
      <c r="CJ33" s="227">
        <f>CI33</f>
        <v>348</v>
      </c>
    </row>
    <row r="34" spans="2:88" ht="12" customHeight="1">
      <c r="B34" s="110">
        <v>24</v>
      </c>
      <c r="C34" s="102">
        <f>NMBS_flexabo!$C28*$AR$15</f>
        <v>1026</v>
      </c>
      <c r="D34" s="102">
        <f>NMBS_flexabo!$D28*$AR$22</f>
        <v>913</v>
      </c>
      <c r="E34" s="102">
        <f>NMBS_flexabo!$E28*VLOOKUP($B$5,$AS$43:$AY$43,7,FALSE)</f>
        <v>981.45</v>
      </c>
      <c r="F34" s="102">
        <f>NMBS_flexabo!$F28*VLOOKUP($B$5,$AS$45:$AY$48,7,FALSE)</f>
        <v>961</v>
      </c>
      <c r="G34" s="104">
        <f>IFERROR(VLOOKUP($B34,NMBS_abonnementen!$G$7:$H$156,2,FALSE),"-")*VLOOKUP($B$5,NMBS_halftijds!$P$4:$Q$44,2)</f>
        <v>970.4448000000001</v>
      </c>
      <c r="H34" s="104">
        <f>IFERROR(VLOOKUP($B34,NMBS_abonnementen!$G$7:$I$156,3,FALSE)*$BB$22,"-")</f>
        <v>1404</v>
      </c>
      <c r="I34" s="104">
        <f>IFERROR(VLOOKUP($B34,NMBS_abonnementen!$G$7:$M$156,7,FALSE)*$BB$23,"-")</f>
        <v>1312</v>
      </c>
      <c r="J34" s="104" t="str">
        <f>IFERROR(VLOOKUP($B34,NMBS_abonnementen!$G$7:$Q$156,11,FALSE),"-")</f>
        <v xml:space="preserve"> 1172,00</v>
      </c>
      <c r="K34" s="104">
        <f>VLOOKUP($B34,NMBS_ticketten!$G$6:$I$155,3,FALSE)*$B$5*$E$5</f>
        <v>1123.2</v>
      </c>
      <c r="L34" s="101" t="str">
        <f t="shared" si="0"/>
        <v/>
      </c>
      <c r="M34" s="101">
        <f t="shared" si="1"/>
        <v>2203.2000000000003</v>
      </c>
      <c r="N34" s="103">
        <f t="shared" si="2"/>
        <v>669.6</v>
      </c>
      <c r="O34" s="174"/>
      <c r="P34" s="269">
        <f t="shared" si="3"/>
        <v>913</v>
      </c>
      <c r="Q34" s="271">
        <f t="shared" si="4"/>
        <v>913</v>
      </c>
      <c r="R34" s="208">
        <f>IFERROR(VLOOKUP($B34,NMBS_abonnementen!$G$7:$J$156,4,FALSE)*$CS$11,"-")</f>
        <v>1944</v>
      </c>
      <c r="S34" s="209">
        <f t="shared" si="5"/>
        <v>1031</v>
      </c>
      <c r="T34" s="208">
        <f>IFERROR(VLOOKUP($B34,NMBS_abonnementen!$G$7:$N$156,8,FALSE)*$CS$12,"-")</f>
        <v>1784</v>
      </c>
      <c r="U34" s="209">
        <f t="shared" si="6"/>
        <v>871</v>
      </c>
      <c r="V34" s="210">
        <f>IFERROR(VLOOKUP($B34,NMBS_abonnementen!$G$7:$R$156,12,FALSE)*$CS$13,"-")</f>
        <v>1471</v>
      </c>
      <c r="W34" s="209">
        <f t="shared" si="7"/>
        <v>558</v>
      </c>
      <c r="X34" s="208">
        <f>IFERROR(VLOOKUP($B34,NMBS_abonnementen!$G$7:$K$156,5,FALSE)*$CS$18,"-")</f>
        <v>1752</v>
      </c>
      <c r="Y34" s="209">
        <f t="shared" si="8"/>
        <v>839</v>
      </c>
      <c r="Z34" s="208">
        <f>IFERROR(VLOOKUP($B34,NMBS_abonnementen!$G$7:$O$156,9,FALSE)*$CS$19,"-")</f>
        <v>1580</v>
      </c>
      <c r="AA34" s="209">
        <f t="shared" si="9"/>
        <v>667</v>
      </c>
      <c r="AB34" s="210">
        <f>IFERROR(VLOOKUP($B34,NMBS_abonnementen!$G$7:$S$156,13,FALSE),"-")</f>
        <v>1347</v>
      </c>
      <c r="AC34" s="198">
        <f t="shared" si="17"/>
        <v>720</v>
      </c>
      <c r="AD34" s="198">
        <f t="shared" si="10"/>
        <v>50.399999999999977</v>
      </c>
      <c r="AE34" s="198">
        <f t="shared" si="11"/>
        <v>484</v>
      </c>
      <c r="AF34" s="198">
        <f t="shared" si="12"/>
        <v>-236</v>
      </c>
      <c r="AH34" s="198">
        <f t="shared" si="13"/>
        <v>669.6</v>
      </c>
      <c r="AI34" s="198">
        <f t="shared" si="14"/>
        <v>185.60000000000002</v>
      </c>
      <c r="AJ34" s="198">
        <f t="shared" si="15"/>
        <v>669.6</v>
      </c>
      <c r="AK34" s="198">
        <f t="shared" si="16"/>
        <v>0</v>
      </c>
      <c r="AL34" s="179"/>
      <c r="AM34" s="175"/>
      <c r="AN34" s="175"/>
      <c r="AR34" s="173"/>
      <c r="AS34" s="173"/>
      <c r="AT34" s="173"/>
      <c r="AU34" s="173"/>
      <c r="AV34" s="173"/>
      <c r="AW34" s="173"/>
      <c r="AX34" s="173"/>
      <c r="AY34" s="173"/>
      <c r="BG34" s="216">
        <v>1</v>
      </c>
      <c r="BH34" s="235">
        <f>BG34*$E$5</f>
        <v>45</v>
      </c>
      <c r="BI34" s="217"/>
      <c r="BJ34" s="217"/>
      <c r="BK34" s="218"/>
      <c r="BN34" s="224">
        <v>4</v>
      </c>
      <c r="BO34" s="225">
        <f>BN34*$E$5</f>
        <v>180</v>
      </c>
      <c r="BP34" s="226">
        <v>1</v>
      </c>
      <c r="BQ34" s="226">
        <f>BO34/BP34</f>
        <v>180</v>
      </c>
      <c r="BR34" s="227">
        <f>BQ34*$BN$29</f>
        <v>1350</v>
      </c>
      <c r="BT34" s="247"/>
      <c r="BU34" s="247"/>
      <c r="BV34" s="247"/>
      <c r="BW34" s="247"/>
      <c r="BX34" s="247"/>
      <c r="BY34" s="181"/>
      <c r="BZ34" s="224">
        <v>4</v>
      </c>
      <c r="CA34" s="225">
        <f>BZ34*$E$5</f>
        <v>180</v>
      </c>
      <c r="CB34" s="226">
        <f>$CB$29</f>
        <v>1</v>
      </c>
      <c r="CC34" s="226">
        <f>CB34*$BZ$29</f>
        <v>3286</v>
      </c>
      <c r="CD34" s="227">
        <f>CC34</f>
        <v>3286</v>
      </c>
      <c r="CF34" s="224">
        <v>4</v>
      </c>
      <c r="CG34" s="225">
        <f>CF34*$E$5</f>
        <v>180</v>
      </c>
      <c r="CH34" s="226">
        <v>12</v>
      </c>
      <c r="CI34" s="226">
        <f>CH34*$CF$29</f>
        <v>348</v>
      </c>
      <c r="CJ34" s="227">
        <f>CI34</f>
        <v>348</v>
      </c>
    </row>
    <row r="35" spans="2:88" ht="12" customHeight="1">
      <c r="B35" s="110">
        <v>25</v>
      </c>
      <c r="C35" s="102">
        <f>NMBS_flexabo!$C29*$AR$15</f>
        <v>1062</v>
      </c>
      <c r="D35" s="102">
        <f>NMBS_flexabo!$D29*$AR$22</f>
        <v>946</v>
      </c>
      <c r="E35" s="102">
        <f>NMBS_flexabo!$E29*VLOOKUP($B$5,$AS$43:$AY$43,7,FALSE)</f>
        <v>1009.8000000000001</v>
      </c>
      <c r="F35" s="102">
        <f>NMBS_flexabo!$F29*VLOOKUP($B$5,$AS$45:$AY$48,7,FALSE)</f>
        <v>989</v>
      </c>
      <c r="G35" s="104">
        <f>IFERROR(VLOOKUP($B35,NMBS_abonnementen!$G$7:$H$156,2,FALSE),"-")*VLOOKUP($B$5,NMBS_halftijds!$P$4:$Q$44,2)</f>
        <v>994.70592000000011</v>
      </c>
      <c r="H35" s="104">
        <f>IFERROR(VLOOKUP($B35,NMBS_abonnementen!$G$7:$I$156,3,FALSE)*$BB$22,"-")</f>
        <v>1452</v>
      </c>
      <c r="I35" s="104">
        <f>IFERROR(VLOOKUP($B35,NMBS_abonnementen!$G$7:$M$156,7,FALSE)*$BB$23,"-")</f>
        <v>1352</v>
      </c>
      <c r="J35" s="104" t="str">
        <f>IFERROR(VLOOKUP($B35,NMBS_abonnementen!$G$7:$Q$156,11,FALSE),"-")</f>
        <v xml:space="preserve"> 1206,00</v>
      </c>
      <c r="K35" s="104">
        <f>VLOOKUP($B35,NMBS_ticketten!$G$6:$I$155,3,FALSE)*$B$5*$E$5</f>
        <v>1166.4000000000001</v>
      </c>
      <c r="L35" s="101" t="str">
        <f t="shared" si="0"/>
        <v/>
      </c>
      <c r="M35" s="101">
        <f t="shared" si="1"/>
        <v>2203.2000000000003</v>
      </c>
      <c r="N35" s="103">
        <f t="shared" si="2"/>
        <v>669.6</v>
      </c>
      <c r="O35" s="174"/>
      <c r="P35" s="269">
        <f t="shared" si="3"/>
        <v>946</v>
      </c>
      <c r="Q35" s="271">
        <f t="shared" si="4"/>
        <v>946</v>
      </c>
      <c r="R35" s="208">
        <f>IFERROR(VLOOKUP($B35,NMBS_abonnementen!$G$7:$J$156,4,FALSE)*$CS$11,"-")</f>
        <v>1992</v>
      </c>
      <c r="S35" s="209">
        <f t="shared" si="5"/>
        <v>1046</v>
      </c>
      <c r="T35" s="208">
        <f>IFERROR(VLOOKUP($B35,NMBS_abonnementen!$G$7:$N$156,8,FALSE)*$CS$12,"-")</f>
        <v>1824</v>
      </c>
      <c r="U35" s="209">
        <f t="shared" si="6"/>
        <v>878</v>
      </c>
      <c r="V35" s="210">
        <f>IFERROR(VLOOKUP($B35,NMBS_abonnementen!$G$7:$R$156,12,FALSE)*$CS$13,"-")</f>
        <v>1505</v>
      </c>
      <c r="W35" s="209">
        <f t="shared" si="7"/>
        <v>559</v>
      </c>
      <c r="X35" s="208">
        <f>IFERROR(VLOOKUP($B35,NMBS_abonnementen!$G$7:$K$156,5,FALSE)*$CS$18,"-")</f>
        <v>1800</v>
      </c>
      <c r="Y35" s="209">
        <f t="shared" si="8"/>
        <v>854</v>
      </c>
      <c r="Z35" s="208">
        <f>IFERROR(VLOOKUP($B35,NMBS_abonnementen!$G$7:$O$156,9,FALSE)*$CS$19,"-")</f>
        <v>1620</v>
      </c>
      <c r="AA35" s="209">
        <f t="shared" si="9"/>
        <v>674</v>
      </c>
      <c r="AB35" s="210">
        <f>IFERROR(VLOOKUP($B35,NMBS_abonnementen!$G$7:$S$156,13,FALSE),"-")</f>
        <v>1381</v>
      </c>
      <c r="AC35" s="198">
        <f t="shared" si="17"/>
        <v>720</v>
      </c>
      <c r="AD35" s="198">
        <f t="shared" si="10"/>
        <v>50.399999999999977</v>
      </c>
      <c r="AE35" s="198">
        <f t="shared" si="11"/>
        <v>484</v>
      </c>
      <c r="AF35" s="198">
        <f t="shared" si="12"/>
        <v>-236</v>
      </c>
      <c r="AH35" s="198">
        <f t="shared" si="13"/>
        <v>669.6</v>
      </c>
      <c r="AI35" s="198">
        <f t="shared" si="14"/>
        <v>185.60000000000002</v>
      </c>
      <c r="AJ35" s="198">
        <f t="shared" si="15"/>
        <v>669.6</v>
      </c>
      <c r="AK35" s="198">
        <f t="shared" si="16"/>
        <v>0</v>
      </c>
      <c r="AL35" s="179"/>
      <c r="AM35" s="175"/>
      <c r="AN35" s="175"/>
      <c r="AQ35" s="194"/>
      <c r="AR35" s="173"/>
      <c r="AS35" s="173"/>
      <c r="AT35" s="173"/>
      <c r="AU35" s="173"/>
      <c r="AV35" s="173"/>
      <c r="AW35" s="173"/>
      <c r="AX35" s="173"/>
      <c r="AY35" s="173"/>
      <c r="BA35" s="297" t="s">
        <v>76</v>
      </c>
      <c r="BB35" s="298"/>
      <c r="BC35" s="298"/>
      <c r="BD35" s="298"/>
      <c r="BE35" s="299"/>
      <c r="BG35" s="216">
        <v>2</v>
      </c>
      <c r="BH35" s="235">
        <f>BG35*$E$5</f>
        <v>90</v>
      </c>
      <c r="BI35" s="217"/>
      <c r="BJ35" s="217"/>
      <c r="BK35" s="218"/>
      <c r="BN35" s="239">
        <v>5</v>
      </c>
      <c r="BO35" s="240">
        <f>BN35*$E$5</f>
        <v>225</v>
      </c>
      <c r="BP35" s="226">
        <v>1</v>
      </c>
      <c r="BQ35" s="226">
        <f>BO35/BP35</f>
        <v>225</v>
      </c>
      <c r="BR35" s="227">
        <f>BQ35*$BN$29</f>
        <v>1687.5</v>
      </c>
      <c r="BT35" s="247"/>
      <c r="BU35" s="247"/>
      <c r="BV35" s="247"/>
      <c r="BW35" s="247"/>
      <c r="BX35" s="247"/>
      <c r="BY35" s="181"/>
      <c r="BZ35" s="239">
        <v>5</v>
      </c>
      <c r="CA35" s="240">
        <f>BZ35*$E$5</f>
        <v>225</v>
      </c>
      <c r="CB35" s="226">
        <f>$CB$29</f>
        <v>1</v>
      </c>
      <c r="CC35" s="226">
        <f>CB35*$BZ$29</f>
        <v>3286</v>
      </c>
      <c r="CD35" s="227">
        <f>CC35</f>
        <v>3286</v>
      </c>
      <c r="CF35" s="239">
        <v>5</v>
      </c>
      <c r="CG35" s="240">
        <f>CF35*$E$5</f>
        <v>225</v>
      </c>
      <c r="CH35" s="226">
        <v>12</v>
      </c>
      <c r="CI35" s="226">
        <f>CH35*$CF$29</f>
        <v>348</v>
      </c>
      <c r="CJ35" s="227">
        <f>CI35</f>
        <v>348</v>
      </c>
    </row>
    <row r="36" spans="2:88" ht="12" customHeight="1">
      <c r="B36" s="110">
        <v>26</v>
      </c>
      <c r="C36" s="102">
        <f>NMBS_flexabo!$C30*$AR$15</f>
        <v>1098</v>
      </c>
      <c r="D36" s="102">
        <f>NMBS_flexabo!$D30*$AR$22</f>
        <v>968</v>
      </c>
      <c r="E36" s="102">
        <f>NMBS_flexabo!$E30*VLOOKUP($B$5,$AS$43:$AY$43,7,FALSE)</f>
        <v>1038.1500000000001</v>
      </c>
      <c r="F36" s="102">
        <f>NMBS_flexabo!$F30*VLOOKUP($B$5,$AS$45:$AY$48,7,FALSE)</f>
        <v>1017</v>
      </c>
      <c r="G36" s="104">
        <f>IFERROR(VLOOKUP($B36,NMBS_abonnementen!$G$7:$H$156,2,FALSE),"-")*VLOOKUP($B$5,NMBS_halftijds!$P$4:$Q$44,2)</f>
        <v>1031.0976000000001</v>
      </c>
      <c r="H36" s="104">
        <f>IFERROR(VLOOKUP($B36,NMBS_abonnementen!$G$7:$I$156,3,FALSE)*$BB$22,"-")</f>
        <v>1488</v>
      </c>
      <c r="I36" s="104">
        <f>IFERROR(VLOOKUP($B36,NMBS_abonnementen!$G$7:$M$156,7,FALSE)*$BB$23,"-")</f>
        <v>1388</v>
      </c>
      <c r="J36" s="104" t="str">
        <f>IFERROR(VLOOKUP($B36,NMBS_abonnementen!$G$7:$Q$156,11,FALSE),"-")</f>
        <v xml:space="preserve"> 1240,00</v>
      </c>
      <c r="K36" s="104">
        <f>VLOOKUP($B36,NMBS_ticketten!$G$6:$I$155,3,FALSE)*$B$5*$E$5</f>
        <v>1188</v>
      </c>
      <c r="L36" s="101" t="str">
        <f t="shared" si="0"/>
        <v/>
      </c>
      <c r="M36" s="101">
        <f t="shared" si="1"/>
        <v>2203.2000000000003</v>
      </c>
      <c r="N36" s="103">
        <f t="shared" si="2"/>
        <v>669.6</v>
      </c>
      <c r="O36" s="174"/>
      <c r="P36" s="269">
        <f t="shared" si="3"/>
        <v>968</v>
      </c>
      <c r="Q36" s="271">
        <f t="shared" si="4"/>
        <v>968</v>
      </c>
      <c r="R36" s="208">
        <f>IFERROR(VLOOKUP($B36,NMBS_abonnementen!$G$7:$J$156,4,FALSE)*$CS$11,"-")</f>
        <v>2028</v>
      </c>
      <c r="S36" s="209">
        <f t="shared" si="5"/>
        <v>1060</v>
      </c>
      <c r="T36" s="208">
        <f>IFERROR(VLOOKUP($B36,NMBS_abonnementen!$G$7:$N$156,8,FALSE)*$CS$12,"-")</f>
        <v>1860</v>
      </c>
      <c r="U36" s="209">
        <f t="shared" si="6"/>
        <v>892</v>
      </c>
      <c r="V36" s="210">
        <f>IFERROR(VLOOKUP($B36,NMBS_abonnementen!$G$7:$R$156,12,FALSE)*$CS$13,"-")</f>
        <v>1539</v>
      </c>
      <c r="W36" s="209">
        <f t="shared" si="7"/>
        <v>571</v>
      </c>
      <c r="X36" s="208">
        <f>IFERROR(VLOOKUP($B36,NMBS_abonnementen!$G$7:$K$156,5,FALSE)*$CS$18,"-")</f>
        <v>1836</v>
      </c>
      <c r="Y36" s="209">
        <f t="shared" si="8"/>
        <v>868</v>
      </c>
      <c r="Z36" s="208">
        <f>IFERROR(VLOOKUP($B36,NMBS_abonnementen!$G$7:$O$156,9,FALSE)*$CS$19,"-")</f>
        <v>1656</v>
      </c>
      <c r="AA36" s="209">
        <f t="shared" si="9"/>
        <v>688</v>
      </c>
      <c r="AB36" s="210">
        <f>IFERROR(VLOOKUP($B36,NMBS_abonnementen!$G$7:$S$156,13,FALSE),"-")</f>
        <v>1415</v>
      </c>
      <c r="AC36" s="198">
        <f t="shared" si="17"/>
        <v>720</v>
      </c>
      <c r="AD36" s="198">
        <f t="shared" si="10"/>
        <v>50.399999999999977</v>
      </c>
      <c r="AE36" s="198">
        <f t="shared" si="11"/>
        <v>484</v>
      </c>
      <c r="AF36" s="198">
        <f t="shared" si="12"/>
        <v>-236</v>
      </c>
      <c r="AH36" s="198">
        <f t="shared" si="13"/>
        <v>669.6</v>
      </c>
      <c r="AI36" s="198">
        <f t="shared" si="14"/>
        <v>185.60000000000002</v>
      </c>
      <c r="AJ36" s="198">
        <f t="shared" si="15"/>
        <v>669.6</v>
      </c>
      <c r="AK36" s="198">
        <f t="shared" si="16"/>
        <v>0</v>
      </c>
      <c r="AL36" s="179"/>
      <c r="AM36" s="175"/>
      <c r="AN36" s="175"/>
      <c r="AR36" s="173"/>
      <c r="AS36" s="173"/>
      <c r="AT36" s="173"/>
      <c r="AU36" s="173"/>
      <c r="AV36" s="173"/>
      <c r="AW36" s="173"/>
      <c r="AX36" s="173"/>
      <c r="AY36" s="173"/>
      <c r="BA36" s="243">
        <v>31</v>
      </c>
      <c r="BB36" s="231"/>
      <c r="BC36" s="231" t="s">
        <v>68</v>
      </c>
      <c r="BD36" s="231"/>
      <c r="BE36" s="232"/>
      <c r="BG36" s="216">
        <v>3</v>
      </c>
      <c r="BH36" s="235">
        <f>BG36*$E$5</f>
        <v>135</v>
      </c>
      <c r="BI36" s="217"/>
      <c r="BJ36" s="217"/>
      <c r="BK36" s="218"/>
      <c r="BN36" s="182"/>
      <c r="BO36" s="182"/>
      <c r="BY36" s="181"/>
      <c r="BZ36" s="181"/>
    </row>
    <row r="37" spans="2:88" ht="12" customHeight="1">
      <c r="B37" s="110">
        <v>27</v>
      </c>
      <c r="C37" s="102">
        <f>NMBS_flexabo!$C31*$AR$15</f>
        <v>1116</v>
      </c>
      <c r="D37" s="102">
        <f>NMBS_flexabo!$D31*$AR$22</f>
        <v>990</v>
      </c>
      <c r="E37" s="102">
        <f>NMBS_flexabo!$E31*VLOOKUP($B$5,$AS$43:$AY$43,7,FALSE)</f>
        <v>1066.5</v>
      </c>
      <c r="F37" s="102">
        <f>NMBS_flexabo!$F31*VLOOKUP($B$5,$AS$45:$AY$48,7,FALSE)</f>
        <v>1044</v>
      </c>
      <c r="G37" s="104">
        <f>IFERROR(VLOOKUP($B37,NMBS_abonnementen!$G$7:$H$156,2,FALSE),"-")*VLOOKUP($B$5,NMBS_halftijds!$P$4:$Q$44,2)</f>
        <v>1055.3587200000002</v>
      </c>
      <c r="H37" s="104">
        <f>IFERROR(VLOOKUP($B37,NMBS_abonnementen!$G$7:$I$156,3,FALSE)*$BB$22,"-")</f>
        <v>1524</v>
      </c>
      <c r="I37" s="104">
        <f>IFERROR(VLOOKUP($B37,NMBS_abonnementen!$G$7:$M$156,7,FALSE)*$BB$23,"-")</f>
        <v>1428</v>
      </c>
      <c r="J37" s="104" t="str">
        <f>IFERROR(VLOOKUP($B37,NMBS_abonnementen!$G$7:$Q$156,11,FALSE),"-")</f>
        <v xml:space="preserve"> 1274,00</v>
      </c>
      <c r="K37" s="104">
        <f>VLOOKUP($B37,NMBS_ticketten!$G$6:$I$155,3,FALSE)*$B$5*$E$5</f>
        <v>1231.2</v>
      </c>
      <c r="L37" s="101" t="str">
        <f t="shared" si="0"/>
        <v/>
      </c>
      <c r="M37" s="101">
        <f t="shared" si="1"/>
        <v>2203.2000000000003</v>
      </c>
      <c r="N37" s="103">
        <f t="shared" si="2"/>
        <v>669.6</v>
      </c>
      <c r="O37" s="174"/>
      <c r="P37" s="269">
        <f t="shared" si="3"/>
        <v>990</v>
      </c>
      <c r="Q37" s="271">
        <f t="shared" si="4"/>
        <v>990</v>
      </c>
      <c r="R37" s="208">
        <f>IFERROR(VLOOKUP($B37,NMBS_abonnementen!$G$7:$J$156,4,FALSE)*$CS$11,"-")</f>
        <v>2064</v>
      </c>
      <c r="S37" s="209">
        <f t="shared" si="5"/>
        <v>1074</v>
      </c>
      <c r="T37" s="208">
        <f>IFERROR(VLOOKUP($B37,NMBS_abonnementen!$G$7:$N$156,8,FALSE)*$CS$12,"-")</f>
        <v>1900</v>
      </c>
      <c r="U37" s="209">
        <f t="shared" si="6"/>
        <v>910</v>
      </c>
      <c r="V37" s="210">
        <f>IFERROR(VLOOKUP($B37,NMBS_abonnementen!$G$7:$R$156,12,FALSE)*$CS$13,"-")</f>
        <v>1573</v>
      </c>
      <c r="W37" s="209">
        <f t="shared" si="7"/>
        <v>583</v>
      </c>
      <c r="X37" s="208">
        <f>IFERROR(VLOOKUP($B37,NMBS_abonnementen!$G$7:$K$156,5,FALSE)*$CS$18,"-")</f>
        <v>1872</v>
      </c>
      <c r="Y37" s="209">
        <f t="shared" si="8"/>
        <v>882</v>
      </c>
      <c r="Z37" s="208">
        <f>IFERROR(VLOOKUP($B37,NMBS_abonnementen!$G$7:$O$156,9,FALSE)*$CS$19,"-")</f>
        <v>1696</v>
      </c>
      <c r="AA37" s="209">
        <f t="shared" si="9"/>
        <v>706</v>
      </c>
      <c r="AB37" s="210">
        <f>IFERROR(VLOOKUP($B37,NMBS_abonnementen!$G$7:$S$156,13,FALSE),"-")</f>
        <v>1449</v>
      </c>
      <c r="AC37" s="198">
        <f t="shared" si="17"/>
        <v>720</v>
      </c>
      <c r="AD37" s="198">
        <f t="shared" si="10"/>
        <v>50.399999999999977</v>
      </c>
      <c r="AE37" s="198">
        <f t="shared" si="11"/>
        <v>484</v>
      </c>
      <c r="AF37" s="198">
        <f t="shared" si="12"/>
        <v>-236</v>
      </c>
      <c r="AH37" s="198">
        <f t="shared" si="13"/>
        <v>669.6</v>
      </c>
      <c r="AI37" s="198">
        <f t="shared" si="14"/>
        <v>185.60000000000002</v>
      </c>
      <c r="AJ37" s="198">
        <f t="shared" si="15"/>
        <v>669.6</v>
      </c>
      <c r="AK37" s="198">
        <f t="shared" si="16"/>
        <v>0</v>
      </c>
      <c r="AL37" s="179"/>
      <c r="AM37" s="175"/>
      <c r="AN37" s="175"/>
      <c r="AR37" s="173"/>
      <c r="AS37" s="173"/>
      <c r="AT37" s="173"/>
      <c r="AU37" s="173"/>
      <c r="AV37" s="173"/>
      <c r="AW37" s="173"/>
      <c r="AX37" s="173"/>
      <c r="AY37" s="173"/>
      <c r="BA37" s="230" t="s">
        <v>50</v>
      </c>
      <c r="BB37" s="244" t="s">
        <v>51</v>
      </c>
      <c r="BC37" s="244" t="s">
        <v>69</v>
      </c>
      <c r="BD37" s="244" t="s">
        <v>70</v>
      </c>
      <c r="BE37" s="245" t="s">
        <v>71</v>
      </c>
      <c r="BG37" s="216">
        <v>4</v>
      </c>
      <c r="BH37" s="235">
        <f>BG37*$E$5</f>
        <v>180</v>
      </c>
      <c r="BI37" s="217"/>
      <c r="BJ37" s="217"/>
      <c r="BK37" s="218"/>
      <c r="BN37" s="319" t="s">
        <v>77</v>
      </c>
      <c r="BO37" s="317"/>
      <c r="BP37" s="317"/>
      <c r="BQ37" s="317"/>
      <c r="BR37" s="318"/>
      <c r="BT37" s="319" t="s">
        <v>78</v>
      </c>
      <c r="BU37" s="317"/>
      <c r="BV37" s="317"/>
      <c r="BW37" s="317"/>
      <c r="BX37" s="318"/>
      <c r="BY37" s="181"/>
      <c r="BZ37" s="181"/>
    </row>
    <row r="38" spans="2:88" ht="12" customHeight="1">
      <c r="B38" s="110">
        <v>28</v>
      </c>
      <c r="C38" s="102">
        <f>NMBS_flexabo!$C32*$AR$15</f>
        <v>1152</v>
      </c>
      <c r="D38" s="102">
        <f>NMBS_flexabo!$D32*$AR$22</f>
        <v>1023</v>
      </c>
      <c r="E38" s="102">
        <f>NMBS_flexabo!$E32*VLOOKUP($B$5,$AS$43:$AY$43,7,FALSE)</f>
        <v>1094.8500000000001</v>
      </c>
      <c r="F38" s="102">
        <f>NMBS_flexabo!$F32*VLOOKUP($B$5,$AS$45:$AY$48,7,FALSE)</f>
        <v>1072</v>
      </c>
      <c r="G38" s="104">
        <f>IFERROR(VLOOKUP($B38,NMBS_abonnementen!$G$7:$H$156,2,FALSE),"-")*VLOOKUP($B$5,NMBS_halftijds!$P$4:$Q$44,2)</f>
        <v>1079.6198400000001</v>
      </c>
      <c r="H38" s="104">
        <f>IFERROR(VLOOKUP($B38,NMBS_abonnementen!$G$7:$I$156,3,FALSE)*$BB$22,"-")</f>
        <v>1572</v>
      </c>
      <c r="I38" s="104">
        <f>IFERROR(VLOOKUP($B38,NMBS_abonnementen!$G$7:$M$156,7,FALSE)*$BB$23,"-")</f>
        <v>1464</v>
      </c>
      <c r="J38" s="104" t="str">
        <f>IFERROR(VLOOKUP($B38,NMBS_abonnementen!$G$7:$Q$156,11,FALSE),"-")</f>
        <v xml:space="preserve"> 1308,00</v>
      </c>
      <c r="K38" s="104">
        <f>VLOOKUP($B38,NMBS_ticketten!$G$6:$I$155,3,FALSE)*$B$5*$E$5</f>
        <v>1252.8</v>
      </c>
      <c r="L38" s="101" t="str">
        <f t="shared" si="0"/>
        <v/>
      </c>
      <c r="M38" s="101">
        <f t="shared" si="1"/>
        <v>2203.2000000000003</v>
      </c>
      <c r="N38" s="103">
        <f t="shared" si="2"/>
        <v>669.6</v>
      </c>
      <c r="O38" s="174"/>
      <c r="P38" s="269">
        <f t="shared" si="3"/>
        <v>1023</v>
      </c>
      <c r="Q38" s="271">
        <f t="shared" si="4"/>
        <v>1023</v>
      </c>
      <c r="R38" s="208">
        <f>IFERROR(VLOOKUP($B38,NMBS_abonnementen!$G$7:$J$156,4,FALSE)*$CS$11,"-")</f>
        <v>2112</v>
      </c>
      <c r="S38" s="209">
        <f t="shared" si="5"/>
        <v>1089</v>
      </c>
      <c r="T38" s="208">
        <f>IFERROR(VLOOKUP($B38,NMBS_abonnementen!$G$7:$N$156,8,FALSE)*$CS$12,"-")</f>
        <v>1936</v>
      </c>
      <c r="U38" s="209">
        <f t="shared" si="6"/>
        <v>913</v>
      </c>
      <c r="V38" s="210">
        <f>IFERROR(VLOOKUP($B38,NMBS_abonnementen!$G$7:$R$156,12,FALSE)*$CS$13,"-")</f>
        <v>1607</v>
      </c>
      <c r="W38" s="209">
        <f t="shared" si="7"/>
        <v>584</v>
      </c>
      <c r="X38" s="208">
        <f>IFERROR(VLOOKUP($B38,NMBS_abonnementen!$G$7:$K$156,5,FALSE)*$CS$18,"-")</f>
        <v>1920</v>
      </c>
      <c r="Y38" s="209">
        <f t="shared" si="8"/>
        <v>897</v>
      </c>
      <c r="Z38" s="208">
        <f>IFERROR(VLOOKUP($B38,NMBS_abonnementen!$G$7:$O$156,9,FALSE)*$CS$19,"-")</f>
        <v>1732</v>
      </c>
      <c r="AA38" s="209">
        <f t="shared" si="9"/>
        <v>709</v>
      </c>
      <c r="AB38" s="210">
        <f>IFERROR(VLOOKUP($B38,NMBS_abonnementen!$G$7:$S$156,13,FALSE),"-")</f>
        <v>1483</v>
      </c>
      <c r="AC38" s="198">
        <f t="shared" si="17"/>
        <v>720</v>
      </c>
      <c r="AD38" s="198">
        <f t="shared" si="10"/>
        <v>50.399999999999977</v>
      </c>
      <c r="AE38" s="198">
        <f t="shared" si="11"/>
        <v>484</v>
      </c>
      <c r="AF38" s="198">
        <f t="shared" si="12"/>
        <v>-236</v>
      </c>
      <c r="AH38" s="198">
        <f t="shared" si="13"/>
        <v>669.6</v>
      </c>
      <c r="AI38" s="198">
        <f t="shared" si="14"/>
        <v>185.60000000000002</v>
      </c>
      <c r="AJ38" s="198">
        <f t="shared" si="15"/>
        <v>669.6</v>
      </c>
      <c r="AK38" s="198">
        <f t="shared" si="16"/>
        <v>0</v>
      </c>
      <c r="AL38" s="179"/>
      <c r="AM38" s="175"/>
      <c r="AN38" s="175"/>
      <c r="AX38" s="181"/>
      <c r="AY38" s="181"/>
      <c r="AZ38" s="173"/>
      <c r="BA38" s="216">
        <f>$B$5</f>
        <v>2.4</v>
      </c>
      <c r="BB38" s="235">
        <f>BA38*$E$5</f>
        <v>108</v>
      </c>
      <c r="BC38" s="217">
        <v>5</v>
      </c>
      <c r="BD38" s="217">
        <f>BB38/$BC$38</f>
        <v>21.6</v>
      </c>
      <c r="BE38" s="218">
        <f>BD38*$BA$36</f>
        <v>669.6</v>
      </c>
      <c r="BG38" s="222">
        <v>5</v>
      </c>
      <c r="BH38" s="246">
        <f>BG38*$E$5</f>
        <v>225</v>
      </c>
      <c r="BI38" s="217"/>
      <c r="BJ38" s="217"/>
      <c r="BK38" s="218"/>
      <c r="BN38" s="200">
        <v>55.5</v>
      </c>
      <c r="BO38" s="201"/>
      <c r="BP38" s="201"/>
      <c r="BQ38" s="201"/>
      <c r="BR38" s="202"/>
      <c r="BT38" s="200">
        <v>74</v>
      </c>
      <c r="BU38" s="201"/>
      <c r="BV38" s="201"/>
      <c r="BW38" s="201"/>
      <c r="BX38" s="202"/>
      <c r="BY38" s="181"/>
      <c r="BZ38" s="181"/>
    </row>
    <row r="39" spans="2:88" ht="12" customHeight="1">
      <c r="B39" s="110">
        <v>29</v>
      </c>
      <c r="C39" s="102">
        <f>NMBS_flexabo!$C33*$AR$15</f>
        <v>1188</v>
      </c>
      <c r="D39" s="102">
        <f>NMBS_flexabo!$D33*$AR$22</f>
        <v>1045</v>
      </c>
      <c r="E39" s="102">
        <f>NMBS_flexabo!$E33*VLOOKUP($B$5,$AS$43:$AY$43,7,FALSE)</f>
        <v>1123.2</v>
      </c>
      <c r="F39" s="102">
        <f>NMBS_flexabo!$F33*VLOOKUP($B$5,$AS$45:$AY$48,7,FALSE)</f>
        <v>1100</v>
      </c>
      <c r="G39" s="104">
        <f>IFERROR(VLOOKUP($B39,NMBS_abonnementen!$G$7:$H$156,2,FALSE),"-")*VLOOKUP($B$5,NMBS_halftijds!$P$4:$Q$44,2)</f>
        <v>1103.8809600000002</v>
      </c>
      <c r="H39" s="104">
        <f>IFERROR(VLOOKUP($B39,NMBS_abonnementen!$G$7:$I$156,3,FALSE)*$BB$22,"-")</f>
        <v>1608</v>
      </c>
      <c r="I39" s="104">
        <f>IFERROR(VLOOKUP($B39,NMBS_abonnementen!$G$7:$M$156,7,FALSE)*$BB$23,"-")</f>
        <v>1504</v>
      </c>
      <c r="J39" s="104" t="str">
        <f>IFERROR(VLOOKUP($B39,NMBS_abonnementen!$G$7:$Q$156,11,FALSE),"-")</f>
        <v xml:space="preserve"> 1341,00</v>
      </c>
      <c r="K39" s="104">
        <f>VLOOKUP($B39,NMBS_ticketten!$G$6:$I$155,3,FALSE)*$B$5*$E$5</f>
        <v>1295.9999999999998</v>
      </c>
      <c r="L39" s="101" t="str">
        <f t="shared" si="0"/>
        <v/>
      </c>
      <c r="M39" s="101">
        <f t="shared" si="1"/>
        <v>2203.2000000000003</v>
      </c>
      <c r="N39" s="103">
        <f t="shared" si="2"/>
        <v>669.6</v>
      </c>
      <c r="O39" s="174"/>
      <c r="P39" s="269">
        <f t="shared" si="3"/>
        <v>1045</v>
      </c>
      <c r="Q39" s="271">
        <f t="shared" si="4"/>
        <v>1045</v>
      </c>
      <c r="R39" s="208">
        <f>IFERROR(VLOOKUP($B39,NMBS_abonnementen!$G$7:$J$156,4,FALSE)*$CS$11,"-")</f>
        <v>2148</v>
      </c>
      <c r="S39" s="209">
        <f t="shared" si="5"/>
        <v>1103</v>
      </c>
      <c r="T39" s="208">
        <f>IFERROR(VLOOKUP($B39,NMBS_abonnementen!$G$7:$N$156,8,FALSE)*$CS$12,"-")</f>
        <v>1976</v>
      </c>
      <c r="U39" s="209">
        <f t="shared" si="6"/>
        <v>931</v>
      </c>
      <c r="V39" s="210">
        <f>IFERROR(VLOOKUP($B39,NMBS_abonnementen!$G$7:$R$156,12,FALSE)*$CS$13,"-")</f>
        <v>1640</v>
      </c>
      <c r="W39" s="209">
        <f t="shared" si="7"/>
        <v>595</v>
      </c>
      <c r="X39" s="208">
        <f>IFERROR(VLOOKUP($B39,NMBS_abonnementen!$G$7:$K$156,5,FALSE)*$CS$18,"-")</f>
        <v>1956</v>
      </c>
      <c r="Y39" s="209">
        <f t="shared" si="8"/>
        <v>911</v>
      </c>
      <c r="Z39" s="208">
        <f>IFERROR(VLOOKUP($B39,NMBS_abonnementen!$G$7:$O$156,9,FALSE)*$CS$19,"-")</f>
        <v>1772</v>
      </c>
      <c r="AA39" s="209">
        <f t="shared" si="9"/>
        <v>727</v>
      </c>
      <c r="AB39" s="210">
        <f>IFERROR(VLOOKUP($B39,NMBS_abonnementen!$G$7:$S$156,13,FALSE),"-")</f>
        <v>1516</v>
      </c>
      <c r="AC39" s="198">
        <f t="shared" si="17"/>
        <v>720</v>
      </c>
      <c r="AD39" s="198">
        <f t="shared" si="10"/>
        <v>50.399999999999977</v>
      </c>
      <c r="AE39" s="198">
        <f t="shared" si="11"/>
        <v>484</v>
      </c>
      <c r="AF39" s="198">
        <f t="shared" si="12"/>
        <v>-236</v>
      </c>
      <c r="AH39" s="198">
        <f t="shared" si="13"/>
        <v>669.6</v>
      </c>
      <c r="AI39" s="198">
        <f t="shared" si="14"/>
        <v>185.60000000000002</v>
      </c>
      <c r="AJ39" s="198">
        <f t="shared" si="15"/>
        <v>669.6</v>
      </c>
      <c r="AK39" s="198">
        <f t="shared" si="16"/>
        <v>0</v>
      </c>
      <c r="AL39" s="179"/>
      <c r="AM39" s="175"/>
      <c r="AN39" s="175"/>
      <c r="AX39" s="181"/>
      <c r="AY39" s="181"/>
      <c r="BN39" s="200"/>
      <c r="BO39" s="201"/>
      <c r="BP39" s="201"/>
      <c r="BQ39" s="201"/>
      <c r="BR39" s="202"/>
      <c r="BT39" s="200"/>
      <c r="BU39" s="201"/>
      <c r="BV39" s="201"/>
      <c r="BW39" s="201"/>
      <c r="BX39" s="202"/>
      <c r="BY39" s="181"/>
      <c r="BZ39" s="181"/>
    </row>
    <row r="40" spans="2:88" ht="12" customHeight="1">
      <c r="B40" s="110">
        <v>30</v>
      </c>
      <c r="C40" s="102">
        <f>NMBS_flexabo!$C34*$AR$15</f>
        <v>1206</v>
      </c>
      <c r="D40" s="102">
        <f>NMBS_flexabo!$D34*$AR$22</f>
        <v>1078</v>
      </c>
      <c r="E40" s="102">
        <f>NMBS_flexabo!$E34*VLOOKUP($B$5,$AS$43:$AY$43,7,FALSE)</f>
        <v>1151.5500000000002</v>
      </c>
      <c r="F40" s="102">
        <f>NMBS_flexabo!$F34*VLOOKUP($B$5,$AS$45:$AY$48,7,FALSE)</f>
        <v>1128</v>
      </c>
      <c r="G40" s="104">
        <f>IFERROR(VLOOKUP($B40,NMBS_abonnementen!$G$7:$H$156,2,FALSE),"-")*VLOOKUP($B$5,NMBS_halftijds!$P$4:$Q$44,2)</f>
        <v>1140.2726400000001</v>
      </c>
      <c r="H40" s="104">
        <f>IFERROR(VLOOKUP($B40,NMBS_abonnementen!$G$7:$I$156,3,FALSE)*$BB$22,"-")</f>
        <v>1656</v>
      </c>
      <c r="I40" s="104">
        <f>IFERROR(VLOOKUP($B40,NMBS_abonnementen!$G$7:$M$156,7,FALSE)*$BB$23,"-")</f>
        <v>1540</v>
      </c>
      <c r="J40" s="104" t="str">
        <f>IFERROR(VLOOKUP($B40,NMBS_abonnementen!$G$7:$Q$156,11,FALSE),"-")</f>
        <v xml:space="preserve"> 1375,00</v>
      </c>
      <c r="K40" s="104">
        <f>VLOOKUP($B40,NMBS_ticketten!$G$6:$I$155,3,FALSE)*$B$5*$E$5</f>
        <v>1317.6</v>
      </c>
      <c r="L40" s="101" t="str">
        <f t="shared" si="0"/>
        <v/>
      </c>
      <c r="M40" s="101">
        <f t="shared" si="1"/>
        <v>2203.2000000000003</v>
      </c>
      <c r="N40" s="103">
        <f t="shared" si="2"/>
        <v>669.6</v>
      </c>
      <c r="O40" s="174"/>
      <c r="P40" s="269">
        <f t="shared" si="3"/>
        <v>1078</v>
      </c>
      <c r="Q40" s="271">
        <f t="shared" si="4"/>
        <v>1078</v>
      </c>
      <c r="R40" s="208">
        <f>IFERROR(VLOOKUP($B40,NMBS_abonnementen!$G$7:$J$156,4,FALSE)*$CS$11,"-")</f>
        <v>2196</v>
      </c>
      <c r="S40" s="209">
        <f t="shared" si="5"/>
        <v>1118</v>
      </c>
      <c r="T40" s="208">
        <f>IFERROR(VLOOKUP($B40,NMBS_abonnementen!$G$7:$N$156,8,FALSE)*$CS$12,"-")</f>
        <v>2012</v>
      </c>
      <c r="U40" s="209">
        <f t="shared" si="6"/>
        <v>934</v>
      </c>
      <c r="V40" s="210">
        <f>IFERROR(VLOOKUP($B40,NMBS_abonnementen!$G$7:$R$156,12,FALSE)*$CS$13,"-")</f>
        <v>1674</v>
      </c>
      <c r="W40" s="209">
        <f t="shared" si="7"/>
        <v>596</v>
      </c>
      <c r="X40" s="208">
        <f>IFERROR(VLOOKUP($B40,NMBS_abonnementen!$G$7:$K$156,5,FALSE)*$CS$18,"-")</f>
        <v>2004</v>
      </c>
      <c r="Y40" s="209">
        <f t="shared" si="8"/>
        <v>926</v>
      </c>
      <c r="Z40" s="208">
        <f>IFERROR(VLOOKUP($B40,NMBS_abonnementen!$G$7:$O$156,9,FALSE)*$CS$19,"-")</f>
        <v>1808</v>
      </c>
      <c r="AA40" s="209">
        <f t="shared" si="9"/>
        <v>730</v>
      </c>
      <c r="AB40" s="210">
        <f>IFERROR(VLOOKUP($B40,NMBS_abonnementen!$G$7:$S$156,13,FALSE),"-")</f>
        <v>1550</v>
      </c>
      <c r="AC40" s="198">
        <f t="shared" si="17"/>
        <v>720</v>
      </c>
      <c r="AD40" s="198">
        <f t="shared" si="10"/>
        <v>50.399999999999977</v>
      </c>
      <c r="AE40" s="198">
        <f t="shared" si="11"/>
        <v>484</v>
      </c>
      <c r="AF40" s="198">
        <f t="shared" si="12"/>
        <v>-236</v>
      </c>
      <c r="AH40" s="198">
        <f t="shared" si="13"/>
        <v>669.6</v>
      </c>
      <c r="AI40" s="198">
        <f t="shared" si="14"/>
        <v>185.60000000000002</v>
      </c>
      <c r="AJ40" s="198">
        <f t="shared" si="15"/>
        <v>669.6</v>
      </c>
      <c r="AK40" s="198">
        <f t="shared" si="16"/>
        <v>0</v>
      </c>
      <c r="AL40" s="179"/>
      <c r="AM40" s="175"/>
      <c r="AN40" s="175"/>
      <c r="AS40" s="308">
        <v>80</v>
      </c>
      <c r="AT40" s="309"/>
      <c r="AU40" s="309"/>
      <c r="AV40" s="309"/>
      <c r="AW40" s="309"/>
      <c r="AX40" s="309"/>
      <c r="AY40" s="310"/>
      <c r="BN40" s="224">
        <v>1</v>
      </c>
      <c r="BO40" s="225">
        <f>BN40*$E$5</f>
        <v>45</v>
      </c>
      <c r="BP40" s="226">
        <v>12</v>
      </c>
      <c r="BQ40" s="226">
        <f>$BN$38</f>
        <v>55.5</v>
      </c>
      <c r="BR40" s="227">
        <f>BQ40*BP40</f>
        <v>666</v>
      </c>
      <c r="BT40" s="224">
        <v>1</v>
      </c>
      <c r="BU40" s="225">
        <f>BT40*$E$5</f>
        <v>45</v>
      </c>
      <c r="BV40" s="226">
        <v>12</v>
      </c>
      <c r="BW40" s="226">
        <f>$BT$38</f>
        <v>74</v>
      </c>
      <c r="BX40" s="227">
        <f>BW40*BV40</f>
        <v>888</v>
      </c>
      <c r="BY40" s="181"/>
      <c r="BZ40" s="181"/>
    </row>
    <row r="41" spans="2:88" ht="12" customHeight="1">
      <c r="B41" s="110">
        <v>31</v>
      </c>
      <c r="C41" s="102">
        <f>NMBS_flexabo!$C35*$AR$15</f>
        <v>1260</v>
      </c>
      <c r="D41" s="102">
        <f>NMBS_flexabo!$D35*$AR$22</f>
        <v>1122</v>
      </c>
      <c r="E41" s="102">
        <f>NMBS_flexabo!$E35*VLOOKUP($B$5,$AS$43:$AY$43,7,FALSE)</f>
        <v>1197.45</v>
      </c>
      <c r="F41" s="102">
        <f>NMBS_flexabo!$F35*VLOOKUP($B$5,$AS$45:$AY$48,7,FALSE)</f>
        <v>1173</v>
      </c>
      <c r="G41" s="104">
        <f>IFERROR(VLOOKUP($B41,NMBS_abonnementen!$G$7:$H$156,2,FALSE),"-")*VLOOKUP($B$5,NMBS_halftijds!$P$4:$Q$44,2)</f>
        <v>1188.7948800000001</v>
      </c>
      <c r="H41" s="104">
        <f>IFERROR(VLOOKUP($B41,NMBS_abonnementen!$G$7:$I$156,3,FALSE)*$BB$22,"-")</f>
        <v>1716</v>
      </c>
      <c r="I41" s="104">
        <f>IFERROR(VLOOKUP($B41,NMBS_abonnementen!$G$7:$M$156,7,FALSE)*$BB$23,"-")</f>
        <v>1604</v>
      </c>
      <c r="J41" s="104" t="str">
        <f>IFERROR(VLOOKUP($B41,NMBS_abonnementen!$G$7:$Q$156,11,FALSE),"-")</f>
        <v xml:space="preserve"> 1431,00</v>
      </c>
      <c r="K41" s="104">
        <f>VLOOKUP($B41,NMBS_ticketten!$G$6:$I$155,3,FALSE)*$B$5*$E$5</f>
        <v>1404</v>
      </c>
      <c r="L41" s="101" t="str">
        <f t="shared" si="0"/>
        <v/>
      </c>
      <c r="M41" s="101">
        <f t="shared" si="1"/>
        <v>2203.2000000000003</v>
      </c>
      <c r="N41" s="103">
        <f t="shared" si="2"/>
        <v>669.6</v>
      </c>
      <c r="O41" s="174"/>
      <c r="P41" s="269">
        <f t="shared" si="3"/>
        <v>1122</v>
      </c>
      <c r="Q41" s="271">
        <f t="shared" si="4"/>
        <v>1122</v>
      </c>
      <c r="R41" s="208">
        <f>IFERROR(VLOOKUP($B41,NMBS_abonnementen!$G$7:$J$156,4,FALSE)*$CS$11,"-")</f>
        <v>2256</v>
      </c>
      <c r="S41" s="209">
        <f t="shared" si="5"/>
        <v>1134</v>
      </c>
      <c r="T41" s="208">
        <f>IFERROR(VLOOKUP($B41,NMBS_abonnementen!$G$7:$N$156,8,FALSE)*$CS$12,"-")</f>
        <v>2076</v>
      </c>
      <c r="U41" s="209">
        <f t="shared" si="6"/>
        <v>954</v>
      </c>
      <c r="V41" s="210">
        <f>IFERROR(VLOOKUP($B41,NMBS_abonnementen!$G$7:$R$156,12,FALSE)*$CS$13,"-")</f>
        <v>1730</v>
      </c>
      <c r="W41" s="209">
        <f t="shared" si="7"/>
        <v>608</v>
      </c>
      <c r="X41" s="208">
        <f>IFERROR(VLOOKUP($B41,NMBS_abonnementen!$G$7:$K$156,5,FALSE)*$CS$18,"-")</f>
        <v>2064</v>
      </c>
      <c r="Y41" s="209">
        <f t="shared" si="8"/>
        <v>942</v>
      </c>
      <c r="Z41" s="208">
        <f>IFERROR(VLOOKUP($B41,NMBS_abonnementen!$G$7:$O$156,9,FALSE)*$CS$19,"-")</f>
        <v>1872</v>
      </c>
      <c r="AA41" s="209">
        <f t="shared" si="9"/>
        <v>750</v>
      </c>
      <c r="AB41" s="210">
        <f>IFERROR(VLOOKUP($B41,NMBS_abonnementen!$G$7:$S$156,13,FALSE),"-")</f>
        <v>1606</v>
      </c>
      <c r="AC41" s="198">
        <f t="shared" si="17"/>
        <v>720</v>
      </c>
      <c r="AD41" s="198">
        <f t="shared" si="10"/>
        <v>50.399999999999977</v>
      </c>
      <c r="AE41" s="198">
        <f t="shared" si="11"/>
        <v>484</v>
      </c>
      <c r="AF41" s="198">
        <f t="shared" si="12"/>
        <v>-236</v>
      </c>
      <c r="AH41" s="198">
        <f t="shared" si="13"/>
        <v>669.6</v>
      </c>
      <c r="AI41" s="198">
        <f t="shared" si="14"/>
        <v>185.60000000000002</v>
      </c>
      <c r="AJ41" s="198">
        <f t="shared" si="15"/>
        <v>669.6</v>
      </c>
      <c r="AK41" s="198">
        <f t="shared" si="16"/>
        <v>0</v>
      </c>
      <c r="AL41" s="179"/>
      <c r="AM41" s="175"/>
      <c r="AN41" s="175"/>
      <c r="AP41" s="248"/>
      <c r="AS41" s="306" t="s">
        <v>50</v>
      </c>
      <c r="AT41" s="265"/>
      <c r="AU41" s="300" t="s">
        <v>51</v>
      </c>
      <c r="AV41" s="300" t="s">
        <v>69</v>
      </c>
      <c r="AW41" s="265"/>
      <c r="AX41" s="300" t="s">
        <v>79</v>
      </c>
      <c r="AY41" s="304" t="s">
        <v>54</v>
      </c>
      <c r="BA41" s="297" t="s">
        <v>80</v>
      </c>
      <c r="BB41" s="298"/>
      <c r="BC41" s="298"/>
      <c r="BD41" s="298"/>
      <c r="BE41" s="299"/>
      <c r="BN41" s="224">
        <v>2</v>
      </c>
      <c r="BO41" s="225">
        <f>BN41*$E$5</f>
        <v>90</v>
      </c>
      <c r="BP41" s="226">
        <v>12</v>
      </c>
      <c r="BQ41" s="226">
        <f>$BN$38</f>
        <v>55.5</v>
      </c>
      <c r="BR41" s="227">
        <f>BQ41*BP41</f>
        <v>666</v>
      </c>
      <c r="BT41" s="224">
        <v>2</v>
      </c>
      <c r="BU41" s="225">
        <f>BT41*$E$5</f>
        <v>90</v>
      </c>
      <c r="BV41" s="226">
        <v>12</v>
      </c>
      <c r="BW41" s="226">
        <f>$BT$38</f>
        <v>74</v>
      </c>
      <c r="BX41" s="227">
        <f>BW41*BV41</f>
        <v>888</v>
      </c>
      <c r="BY41" s="181"/>
      <c r="BZ41" s="181"/>
    </row>
    <row r="42" spans="2:88" ht="12" customHeight="1">
      <c r="B42" s="110">
        <v>32</v>
      </c>
      <c r="C42" s="102">
        <f>NMBS_flexabo!$C36*$AR$15</f>
        <v>1260</v>
      </c>
      <c r="D42" s="102">
        <f>NMBS_flexabo!$D36*$AR$22</f>
        <v>1122</v>
      </c>
      <c r="E42" s="102">
        <f>NMBS_flexabo!$E36*VLOOKUP($B$5,$AS$43:$AY$43,7,FALSE)</f>
        <v>1197.45</v>
      </c>
      <c r="F42" s="102">
        <f>NMBS_flexabo!$F36*VLOOKUP($B$5,$AS$45:$AY$48,7,FALSE)</f>
        <v>1173</v>
      </c>
      <c r="G42" s="104">
        <f>IFERROR(VLOOKUP($B42,NMBS_abonnementen!$G$7:$H$156,2,FALSE),"-")*VLOOKUP($B$5,NMBS_halftijds!$P$4:$Q$44,2)</f>
        <v>1188.7948800000001</v>
      </c>
      <c r="H42" s="104">
        <f>IFERROR(VLOOKUP($B42,NMBS_abonnementen!$G$7:$I$156,3,FALSE)*$BB$22,"-")</f>
        <v>1716</v>
      </c>
      <c r="I42" s="104">
        <f>IFERROR(VLOOKUP($B42,NMBS_abonnementen!$G$7:$M$156,7,FALSE)*$BB$23,"-")</f>
        <v>1604</v>
      </c>
      <c r="J42" s="104" t="str">
        <f>IFERROR(VLOOKUP($B42,NMBS_abonnementen!$G$7:$Q$156,11,FALSE),"-")</f>
        <v xml:space="preserve"> 1431,00</v>
      </c>
      <c r="K42" s="104">
        <f>VLOOKUP($B42,NMBS_ticketten!$G$6:$I$155,3,FALSE)*$B$5*$E$5</f>
        <v>1404</v>
      </c>
      <c r="L42" s="101" t="str">
        <f t="shared" si="0"/>
        <v/>
      </c>
      <c r="M42" s="101">
        <f t="shared" si="1"/>
        <v>2203.2000000000003</v>
      </c>
      <c r="N42" s="103">
        <f t="shared" si="2"/>
        <v>669.6</v>
      </c>
      <c r="O42" s="174"/>
      <c r="P42" s="269">
        <f t="shared" si="3"/>
        <v>1122</v>
      </c>
      <c r="Q42" s="271">
        <f t="shared" si="4"/>
        <v>1122</v>
      </c>
      <c r="R42" s="208">
        <f>IFERROR(VLOOKUP($B42,NMBS_abonnementen!$G$7:$J$156,4,FALSE)*$CS$11,"-")</f>
        <v>2256</v>
      </c>
      <c r="S42" s="209">
        <f t="shared" si="5"/>
        <v>1134</v>
      </c>
      <c r="T42" s="208">
        <f>IFERROR(VLOOKUP($B42,NMBS_abonnementen!$G$7:$N$156,8,FALSE)*$CS$12,"-")</f>
        <v>2076</v>
      </c>
      <c r="U42" s="209">
        <f t="shared" si="6"/>
        <v>954</v>
      </c>
      <c r="V42" s="210">
        <f>IFERROR(VLOOKUP($B42,NMBS_abonnementen!$G$7:$R$156,12,FALSE)*$CS$13,"-")</f>
        <v>1730</v>
      </c>
      <c r="W42" s="209">
        <f t="shared" si="7"/>
        <v>608</v>
      </c>
      <c r="X42" s="208">
        <f>IFERROR(VLOOKUP($B42,NMBS_abonnementen!$G$7:$K$156,5,FALSE)*$CS$18,"-")</f>
        <v>2064</v>
      </c>
      <c r="Y42" s="209">
        <f t="shared" si="8"/>
        <v>942</v>
      </c>
      <c r="Z42" s="208">
        <f>IFERROR(VLOOKUP($B42,NMBS_abonnementen!$G$7:$O$156,9,FALSE)*$CS$19,"-")</f>
        <v>1872</v>
      </c>
      <c r="AA42" s="209">
        <f t="shared" si="9"/>
        <v>750</v>
      </c>
      <c r="AB42" s="210">
        <f>IFERROR(VLOOKUP($B42,NMBS_abonnementen!$G$7:$S$156,13,FALSE),"-")</f>
        <v>1606</v>
      </c>
      <c r="AC42" s="198">
        <f t="shared" si="17"/>
        <v>720</v>
      </c>
      <c r="AD42" s="198">
        <f t="shared" si="10"/>
        <v>50.399999999999977</v>
      </c>
      <c r="AE42" s="198">
        <f t="shared" si="11"/>
        <v>484</v>
      </c>
      <c r="AF42" s="198">
        <f t="shared" si="12"/>
        <v>-236</v>
      </c>
      <c r="AH42" s="198">
        <f t="shared" si="13"/>
        <v>669.6</v>
      </c>
      <c r="AI42" s="198">
        <f t="shared" si="14"/>
        <v>185.60000000000002</v>
      </c>
      <c r="AJ42" s="198">
        <f t="shared" si="15"/>
        <v>669.6</v>
      </c>
      <c r="AK42" s="198">
        <f t="shared" si="16"/>
        <v>0</v>
      </c>
      <c r="AL42" s="179"/>
      <c r="AM42" s="175"/>
      <c r="AN42" s="175"/>
      <c r="AP42" s="248"/>
      <c r="AS42" s="307"/>
      <c r="AT42" s="266"/>
      <c r="AU42" s="301"/>
      <c r="AV42" s="301"/>
      <c r="AW42" s="266"/>
      <c r="AX42" s="301"/>
      <c r="AY42" s="305"/>
      <c r="BA42" s="243">
        <v>62</v>
      </c>
      <c r="BB42" s="231"/>
      <c r="BC42" s="231" t="s">
        <v>68</v>
      </c>
      <c r="BD42" s="231"/>
      <c r="BE42" s="232">
        <v>26</v>
      </c>
      <c r="BN42" s="224">
        <v>3</v>
      </c>
      <c r="BO42" s="225">
        <f>BN42*$E$5</f>
        <v>135</v>
      </c>
      <c r="BP42" s="226">
        <v>12</v>
      </c>
      <c r="BQ42" s="226">
        <f>$BN$38</f>
        <v>55.5</v>
      </c>
      <c r="BR42" s="227">
        <f>BQ42*BP42</f>
        <v>666</v>
      </c>
      <c r="BT42" s="224">
        <v>3</v>
      </c>
      <c r="BU42" s="225">
        <f>BT42*$E$5</f>
        <v>135</v>
      </c>
      <c r="BV42" s="226">
        <v>12</v>
      </c>
      <c r="BW42" s="226">
        <f>$BT$38</f>
        <v>74</v>
      </c>
      <c r="BX42" s="227">
        <f>BW42*BV42</f>
        <v>888</v>
      </c>
      <c r="BY42" s="181"/>
      <c r="BZ42" s="181"/>
    </row>
    <row r="43" spans="2:88" ht="12" customHeight="1">
      <c r="B43" s="110">
        <v>33</v>
      </c>
      <c r="C43" s="102">
        <f>NMBS_flexabo!$C37*$AR$15</f>
        <v>1260</v>
      </c>
      <c r="D43" s="102">
        <f>NMBS_flexabo!$D37*$AR$22</f>
        <v>1122</v>
      </c>
      <c r="E43" s="102">
        <f>NMBS_flexabo!$E37*VLOOKUP($B$5,$AS$43:$AY$43,7,FALSE)</f>
        <v>1197.45</v>
      </c>
      <c r="F43" s="102">
        <f>NMBS_flexabo!$F37*VLOOKUP($B$5,$AS$45:$AY$48,7,FALSE)</f>
        <v>1173</v>
      </c>
      <c r="G43" s="104">
        <f>IFERROR(VLOOKUP($B43,NMBS_abonnementen!$G$7:$H$156,2,FALSE),"-")*VLOOKUP($B$5,NMBS_halftijds!$P$4:$Q$44,2)</f>
        <v>1188.7948800000001</v>
      </c>
      <c r="H43" s="104">
        <f>IFERROR(VLOOKUP($B43,NMBS_abonnementen!$G$7:$I$156,3,FALSE)*$BB$22,"-")</f>
        <v>1716</v>
      </c>
      <c r="I43" s="104">
        <f>IFERROR(VLOOKUP($B43,NMBS_abonnementen!$G$7:$M$156,7,FALSE)*$BB$23,"-")</f>
        <v>1604</v>
      </c>
      <c r="J43" s="104" t="str">
        <f>IFERROR(VLOOKUP($B43,NMBS_abonnementen!$G$7:$Q$156,11,FALSE),"-")</f>
        <v xml:space="preserve"> 1431,00</v>
      </c>
      <c r="K43" s="104">
        <f>VLOOKUP($B43,NMBS_ticketten!$G$6:$I$155,3,FALSE)*$B$5*$E$5</f>
        <v>1404</v>
      </c>
      <c r="L43" s="101" t="str">
        <f t="shared" si="0"/>
        <v/>
      </c>
      <c r="M43" s="101">
        <f t="shared" si="1"/>
        <v>2203.2000000000003</v>
      </c>
      <c r="N43" s="103">
        <f t="shared" si="2"/>
        <v>669.6</v>
      </c>
      <c r="O43" s="174"/>
      <c r="P43" s="269">
        <f t="shared" ref="P43:P74" si="18">MIN(C43:M43)</f>
        <v>1122</v>
      </c>
      <c r="Q43" s="271">
        <f t="shared" ref="Q43:Q74" si="19">P43</f>
        <v>1122</v>
      </c>
      <c r="R43" s="208">
        <f>IFERROR(VLOOKUP($B43,NMBS_abonnementen!$G$7:$J$156,4,FALSE)*$CS$11,"-")</f>
        <v>2256</v>
      </c>
      <c r="S43" s="209">
        <f t="shared" ref="S43:S74" si="20">R43-$Q43</f>
        <v>1134</v>
      </c>
      <c r="T43" s="208">
        <f>IFERROR(VLOOKUP($B43,NMBS_abonnementen!$G$7:$N$156,8,FALSE)*$CS$12,"-")</f>
        <v>2076</v>
      </c>
      <c r="U43" s="209">
        <f t="shared" ref="U43:U74" si="21">T43-$Q43</f>
        <v>954</v>
      </c>
      <c r="V43" s="210">
        <f>IFERROR(VLOOKUP($B43,NMBS_abonnementen!$G$7:$R$156,12,FALSE)*$CS$13,"-")</f>
        <v>1730</v>
      </c>
      <c r="W43" s="209">
        <f t="shared" ref="W43:W74" si="22">V43-$Q43</f>
        <v>608</v>
      </c>
      <c r="X43" s="208">
        <f>IFERROR(VLOOKUP($B43,NMBS_abonnementen!$G$7:$K$156,5,FALSE)*$CS$18,"-")</f>
        <v>2064</v>
      </c>
      <c r="Y43" s="209">
        <f t="shared" ref="Y43:Y74" si="23">X43-$Q43</f>
        <v>942</v>
      </c>
      <c r="Z43" s="208">
        <f>IFERROR(VLOOKUP($B43,NMBS_abonnementen!$G$7:$O$156,9,FALSE)*$CS$19,"-")</f>
        <v>1872</v>
      </c>
      <c r="AA43" s="209">
        <f t="shared" ref="AA43:AA74" si="24">Z43-$Q43</f>
        <v>750</v>
      </c>
      <c r="AB43" s="210">
        <f>IFERROR(VLOOKUP($B43,NMBS_abonnementen!$G$7:$S$156,13,FALSE),"-")</f>
        <v>1606</v>
      </c>
      <c r="AC43" s="198">
        <f t="shared" si="17"/>
        <v>720</v>
      </c>
      <c r="AD43" s="198">
        <f t="shared" ref="AD43:AD74" si="25">AC43-N43</f>
        <v>50.399999999999977</v>
      </c>
      <c r="AE43" s="198">
        <f t="shared" ref="AE43:AE74" si="26">$BI$13</f>
        <v>484</v>
      </c>
      <c r="AF43" s="198">
        <f t="shared" ref="AF43:AF74" si="27">AE43-AC43</f>
        <v>-236</v>
      </c>
      <c r="AH43" s="198">
        <f t="shared" ref="AH43:AH74" si="28">$BE$38</f>
        <v>669.6</v>
      </c>
      <c r="AI43" s="198">
        <f t="shared" ref="AI43:AI74" si="29">AH43-AE43</f>
        <v>185.60000000000002</v>
      </c>
      <c r="AJ43" s="198">
        <f t="shared" ref="AJ43:AJ74" si="30">$BE$38</f>
        <v>669.6</v>
      </c>
      <c r="AK43" s="198">
        <f t="shared" ref="AK43:AK74" si="31">AJ43-AH43</f>
        <v>0</v>
      </c>
      <c r="AL43" s="179"/>
      <c r="AM43" s="175"/>
      <c r="AN43" s="175"/>
      <c r="AR43" s="173"/>
      <c r="AS43" s="216">
        <f>$B$5</f>
        <v>2.4</v>
      </c>
      <c r="AT43" s="235"/>
      <c r="AU43" s="235">
        <f>AS43*$E$5</f>
        <v>108</v>
      </c>
      <c r="AV43" s="235">
        <f>AU43-$AS$40</f>
        <v>28</v>
      </c>
      <c r="AW43" s="235"/>
      <c r="AX43" s="218">
        <f>$AU$43/$AS$40</f>
        <v>1.35</v>
      </c>
      <c r="AY43" s="237">
        <f>IF(AX43&lt;1,ROUNDUP(AX43,0),AX43)</f>
        <v>1.35</v>
      </c>
      <c r="BA43" s="300" t="s">
        <v>50</v>
      </c>
      <c r="BB43" s="300" t="s">
        <v>51</v>
      </c>
      <c r="BC43" s="300" t="s">
        <v>69</v>
      </c>
      <c r="BD43" s="300" t="s">
        <v>70</v>
      </c>
      <c r="BE43" s="300" t="s">
        <v>81</v>
      </c>
      <c r="BN43" s="224">
        <v>4</v>
      </c>
      <c r="BO43" s="225">
        <f>BN43*$E$5</f>
        <v>180</v>
      </c>
      <c r="BP43" s="226">
        <v>12</v>
      </c>
      <c r="BQ43" s="226">
        <f>$BN$38</f>
        <v>55.5</v>
      </c>
      <c r="BR43" s="227">
        <f>BQ43*BP43</f>
        <v>666</v>
      </c>
      <c r="BT43" s="224">
        <v>4</v>
      </c>
      <c r="BU43" s="225">
        <f>BT43*$E$5</f>
        <v>180</v>
      </c>
      <c r="BV43" s="226">
        <v>12</v>
      </c>
      <c r="BW43" s="226">
        <f>$BT$38</f>
        <v>74</v>
      </c>
      <c r="BX43" s="227">
        <f>BW43*BV43</f>
        <v>888</v>
      </c>
      <c r="BY43" s="181"/>
      <c r="BZ43" s="181"/>
    </row>
    <row r="44" spans="2:88" ht="12" customHeight="1">
      <c r="B44" s="110">
        <v>34</v>
      </c>
      <c r="C44" s="102">
        <f>NMBS_flexabo!$C38*$AR$15</f>
        <v>1332</v>
      </c>
      <c r="D44" s="102">
        <f>NMBS_flexabo!$D38*$AR$22</f>
        <v>1177</v>
      </c>
      <c r="E44" s="102">
        <f>NMBS_flexabo!$E38*VLOOKUP($B$5,$AS$43:$AY$43,7,FALSE)</f>
        <v>1266.3000000000002</v>
      </c>
      <c r="F44" s="102">
        <f>NMBS_flexabo!$F38*VLOOKUP($B$5,$AS$45:$AY$48,7,FALSE)</f>
        <v>1241</v>
      </c>
      <c r="G44" s="104">
        <f>IFERROR(VLOOKUP($B44,NMBS_abonnementen!$G$7:$H$156,2,FALSE),"-")*VLOOKUP($B$5,NMBS_halftijds!$P$4:$Q$44,2)</f>
        <v>1261.5782400000001</v>
      </c>
      <c r="H44" s="104">
        <f>IFERROR(VLOOKUP($B44,NMBS_abonnementen!$G$7:$I$156,3,FALSE)*$BB$22,"-")</f>
        <v>1812</v>
      </c>
      <c r="I44" s="104">
        <f>IFERROR(VLOOKUP($B44,NMBS_abonnementen!$G$7:$M$156,7,FALSE)*$BB$23,"-")</f>
        <v>1696</v>
      </c>
      <c r="J44" s="104" t="str">
        <f>IFERROR(VLOOKUP($B44,NMBS_abonnementen!$G$7:$Q$156,11,FALSE),"-")</f>
        <v xml:space="preserve"> 1514,00</v>
      </c>
      <c r="K44" s="104">
        <f>VLOOKUP($B44,NMBS_ticketten!$G$6:$I$155,3,FALSE)*$B$5*$E$5</f>
        <v>1490.3999999999999</v>
      </c>
      <c r="L44" s="101" t="str">
        <f t="shared" si="0"/>
        <v/>
      </c>
      <c r="M44" s="101">
        <f t="shared" si="1"/>
        <v>2203.2000000000003</v>
      </c>
      <c r="N44" s="103">
        <f t="shared" si="2"/>
        <v>669.6</v>
      </c>
      <c r="O44" s="174"/>
      <c r="P44" s="269">
        <f t="shared" si="18"/>
        <v>1177</v>
      </c>
      <c r="Q44" s="271">
        <f t="shared" si="19"/>
        <v>1177</v>
      </c>
      <c r="R44" s="208">
        <f>IFERROR(VLOOKUP($B44,NMBS_abonnementen!$G$7:$J$156,4,FALSE)*$CS$11,"-")</f>
        <v>2352</v>
      </c>
      <c r="S44" s="209">
        <f t="shared" si="20"/>
        <v>1175</v>
      </c>
      <c r="T44" s="208">
        <f>IFERROR(VLOOKUP($B44,NMBS_abonnementen!$G$7:$N$156,8,FALSE)*$CS$12,"-")</f>
        <v>2168</v>
      </c>
      <c r="U44" s="209">
        <f t="shared" si="21"/>
        <v>991</v>
      </c>
      <c r="V44" s="210">
        <f>IFERROR(VLOOKUP($B44,NMBS_abonnementen!$G$7:$R$156,12,FALSE)*$CS$13,"-")</f>
        <v>1813</v>
      </c>
      <c r="W44" s="209">
        <f t="shared" si="22"/>
        <v>636</v>
      </c>
      <c r="X44" s="208">
        <f>IFERROR(VLOOKUP($B44,NMBS_abonnementen!$G$7:$K$156,5,FALSE)*$CS$18,"-")</f>
        <v>2160</v>
      </c>
      <c r="Y44" s="209">
        <f t="shared" si="23"/>
        <v>983</v>
      </c>
      <c r="Z44" s="208">
        <f>IFERROR(VLOOKUP($B44,NMBS_abonnementen!$G$7:$O$156,9,FALSE)*$CS$19,"-")</f>
        <v>1964</v>
      </c>
      <c r="AA44" s="209">
        <f t="shared" si="24"/>
        <v>787</v>
      </c>
      <c r="AB44" s="210">
        <f>IFERROR(VLOOKUP($B44,NMBS_abonnementen!$G$7:$S$156,13,FALSE),"-")</f>
        <v>1689</v>
      </c>
      <c r="AC44" s="198">
        <f t="shared" si="17"/>
        <v>720</v>
      </c>
      <c r="AD44" s="198">
        <f t="shared" si="25"/>
        <v>50.399999999999977</v>
      </c>
      <c r="AE44" s="198">
        <f t="shared" si="26"/>
        <v>484</v>
      </c>
      <c r="AF44" s="198">
        <f t="shared" si="27"/>
        <v>-236</v>
      </c>
      <c r="AH44" s="198">
        <f t="shared" si="28"/>
        <v>669.6</v>
      </c>
      <c r="AI44" s="198">
        <f t="shared" si="29"/>
        <v>185.60000000000002</v>
      </c>
      <c r="AJ44" s="198">
        <f t="shared" si="30"/>
        <v>669.6</v>
      </c>
      <c r="AK44" s="198">
        <f t="shared" si="31"/>
        <v>0</v>
      </c>
      <c r="AL44" s="179"/>
      <c r="AM44" s="175"/>
      <c r="AN44" s="175"/>
      <c r="AR44" s="173"/>
      <c r="AS44" s="173"/>
      <c r="AT44" s="173"/>
      <c r="AU44" s="173"/>
      <c r="AV44" s="173"/>
      <c r="AW44" s="173"/>
      <c r="AX44" s="173"/>
      <c r="AY44" s="173"/>
      <c r="BA44" s="301"/>
      <c r="BB44" s="301"/>
      <c r="BC44" s="301"/>
      <c r="BD44" s="301"/>
      <c r="BE44" s="301"/>
      <c r="BN44" s="239">
        <v>5</v>
      </c>
      <c r="BO44" s="240">
        <f>BN44*$E$5</f>
        <v>225</v>
      </c>
      <c r="BP44" s="226">
        <v>12</v>
      </c>
      <c r="BQ44" s="226">
        <f>$BN$38</f>
        <v>55.5</v>
      </c>
      <c r="BR44" s="227">
        <f>BQ44*BP44</f>
        <v>666</v>
      </c>
      <c r="BT44" s="239">
        <v>5</v>
      </c>
      <c r="BU44" s="240">
        <f>BT44*$E$5</f>
        <v>225</v>
      </c>
      <c r="BV44" s="226">
        <v>12</v>
      </c>
      <c r="BW44" s="226">
        <f>$BT$38</f>
        <v>74</v>
      </c>
      <c r="BX44" s="227">
        <f>BW44*BV44</f>
        <v>888</v>
      </c>
      <c r="BY44" s="181"/>
      <c r="BZ44" s="181"/>
    </row>
    <row r="45" spans="2:88" ht="12" customHeight="1">
      <c r="B45" s="110">
        <v>35</v>
      </c>
      <c r="C45" s="102">
        <f>NMBS_flexabo!$C39*$AR$15</f>
        <v>1332</v>
      </c>
      <c r="D45" s="102">
        <f>NMBS_flexabo!$D39*$AR$22</f>
        <v>1177</v>
      </c>
      <c r="E45" s="102">
        <f>NMBS_flexabo!$E39*VLOOKUP($B$5,$AS$43:$AY$43,7,FALSE)</f>
        <v>1266.3000000000002</v>
      </c>
      <c r="F45" s="102">
        <f>NMBS_flexabo!$F39*VLOOKUP($B$5,$AS$45:$AY$48,7,FALSE)</f>
        <v>1241</v>
      </c>
      <c r="G45" s="104">
        <f>IFERROR(VLOOKUP($B45,NMBS_abonnementen!$G$7:$H$156,2,FALSE),"-")*VLOOKUP($B$5,NMBS_halftijds!$P$4:$Q$44,2)</f>
        <v>1261.5782400000001</v>
      </c>
      <c r="H45" s="104">
        <f>IFERROR(VLOOKUP($B45,NMBS_abonnementen!$G$7:$I$156,3,FALSE)*$BB$22,"-")</f>
        <v>1812</v>
      </c>
      <c r="I45" s="104">
        <f>IFERROR(VLOOKUP($B45,NMBS_abonnementen!$G$7:$M$156,7,FALSE)*$BB$23,"-")</f>
        <v>1696</v>
      </c>
      <c r="J45" s="104" t="str">
        <f>IFERROR(VLOOKUP($B45,NMBS_abonnementen!$G$7:$Q$156,11,FALSE),"-")</f>
        <v xml:space="preserve"> 1514,00</v>
      </c>
      <c r="K45" s="104">
        <f>VLOOKUP($B45,NMBS_ticketten!$G$6:$I$155,3,FALSE)*$B$5*$E$5</f>
        <v>1490.3999999999999</v>
      </c>
      <c r="L45" s="101" t="str">
        <f t="shared" si="0"/>
        <v/>
      </c>
      <c r="M45" s="101">
        <f t="shared" si="1"/>
        <v>2203.2000000000003</v>
      </c>
      <c r="N45" s="103">
        <f t="shared" si="2"/>
        <v>669.6</v>
      </c>
      <c r="O45" s="174"/>
      <c r="P45" s="269">
        <f t="shared" si="18"/>
        <v>1177</v>
      </c>
      <c r="Q45" s="271">
        <f t="shared" si="19"/>
        <v>1177</v>
      </c>
      <c r="R45" s="208">
        <f>IFERROR(VLOOKUP($B45,NMBS_abonnementen!$G$7:$J$156,4,FALSE)*$CS$11,"-")</f>
        <v>2352</v>
      </c>
      <c r="S45" s="209">
        <f t="shared" si="20"/>
        <v>1175</v>
      </c>
      <c r="T45" s="208">
        <f>IFERROR(VLOOKUP($B45,NMBS_abonnementen!$G$7:$N$156,8,FALSE)*$CS$12,"-")</f>
        <v>2168</v>
      </c>
      <c r="U45" s="209">
        <f t="shared" si="21"/>
        <v>991</v>
      </c>
      <c r="V45" s="210">
        <f>IFERROR(VLOOKUP($B45,NMBS_abonnementen!$G$7:$R$156,12,FALSE)*$CS$13,"-")</f>
        <v>1813</v>
      </c>
      <c r="W45" s="209">
        <f t="shared" si="22"/>
        <v>636</v>
      </c>
      <c r="X45" s="208">
        <f>IFERROR(VLOOKUP($B45,NMBS_abonnementen!$G$7:$K$156,5,FALSE)*$CS$18,"-")</f>
        <v>2160</v>
      </c>
      <c r="Y45" s="209">
        <f t="shared" si="23"/>
        <v>983</v>
      </c>
      <c r="Z45" s="208">
        <f>IFERROR(VLOOKUP($B45,NMBS_abonnementen!$G$7:$O$156,9,FALSE)*$CS$19,"-")</f>
        <v>1964</v>
      </c>
      <c r="AA45" s="209">
        <f t="shared" si="24"/>
        <v>787</v>
      </c>
      <c r="AB45" s="210">
        <f>IFERROR(VLOOKUP($B45,NMBS_abonnementen!$G$7:$S$156,13,FALSE),"-")</f>
        <v>1689</v>
      </c>
      <c r="AC45" s="198">
        <f t="shared" si="17"/>
        <v>720</v>
      </c>
      <c r="AD45" s="198">
        <f t="shared" si="25"/>
        <v>50.399999999999977</v>
      </c>
      <c r="AE45" s="198">
        <f t="shared" si="26"/>
        <v>484</v>
      </c>
      <c r="AF45" s="198">
        <f t="shared" si="27"/>
        <v>-236</v>
      </c>
      <c r="AH45" s="198">
        <f t="shared" si="28"/>
        <v>669.6</v>
      </c>
      <c r="AI45" s="198">
        <f t="shared" si="29"/>
        <v>185.60000000000002</v>
      </c>
      <c r="AJ45" s="198">
        <f t="shared" si="30"/>
        <v>669.6</v>
      </c>
      <c r="AK45" s="198">
        <f t="shared" si="31"/>
        <v>0</v>
      </c>
      <c r="AL45" s="179"/>
      <c r="AM45" s="175"/>
      <c r="AN45" s="175"/>
      <c r="AQ45" s="249"/>
      <c r="AR45" s="249"/>
      <c r="AS45" s="297">
        <v>120</v>
      </c>
      <c r="AT45" s="298"/>
      <c r="AU45" s="298"/>
      <c r="AV45" s="298"/>
      <c r="AW45" s="298"/>
      <c r="AX45" s="298"/>
      <c r="AY45" s="299"/>
      <c r="BA45" s="216">
        <f>$B$5</f>
        <v>2.4</v>
      </c>
      <c r="BB45" s="235">
        <f>BA45*$E$5</f>
        <v>108</v>
      </c>
      <c r="BC45" s="217">
        <v>5</v>
      </c>
      <c r="BD45" s="217">
        <f>BB45/$BC$38</f>
        <v>21.6</v>
      </c>
      <c r="BE45" s="218" t="str">
        <f>IFERROR(IF(G5&lt;$BE$42,$BD$45*$BA$42,""),"")</f>
        <v/>
      </c>
      <c r="BN45" s="182"/>
      <c r="BO45" s="182"/>
      <c r="BY45" s="181"/>
      <c r="BZ45" s="181"/>
    </row>
    <row r="46" spans="2:88" ht="12" customHeight="1">
      <c r="B46" s="110">
        <v>36</v>
      </c>
      <c r="C46" s="102">
        <f>NMBS_flexabo!$C40*$AR$15</f>
        <v>1332</v>
      </c>
      <c r="D46" s="102">
        <f>NMBS_flexabo!$D40*$AR$22</f>
        <v>1177</v>
      </c>
      <c r="E46" s="102">
        <f>NMBS_flexabo!$E40*VLOOKUP($B$5,$AS$43:$AY$43,7,FALSE)</f>
        <v>1266.3000000000002</v>
      </c>
      <c r="F46" s="102">
        <f>NMBS_flexabo!$F40*VLOOKUP($B$5,$AS$45:$AY$48,7,FALSE)</f>
        <v>1241</v>
      </c>
      <c r="G46" s="104">
        <f>IFERROR(VLOOKUP($B46,NMBS_abonnementen!$G$7:$H$156,2,FALSE),"-")*VLOOKUP($B$5,NMBS_halftijds!$P$4:$Q$44,2)</f>
        <v>1261.5782400000001</v>
      </c>
      <c r="H46" s="104">
        <f>IFERROR(VLOOKUP($B46,NMBS_abonnementen!$G$7:$I$156,3,FALSE)*$BB$22,"-")</f>
        <v>1812</v>
      </c>
      <c r="I46" s="104">
        <f>IFERROR(VLOOKUP($B46,NMBS_abonnementen!$G$7:$M$156,7,FALSE)*$BB$23,"-")</f>
        <v>1696</v>
      </c>
      <c r="J46" s="104" t="str">
        <f>IFERROR(VLOOKUP($B46,NMBS_abonnementen!$G$7:$Q$156,11,FALSE),"-")</f>
        <v xml:space="preserve"> 1514,00</v>
      </c>
      <c r="K46" s="104">
        <f>VLOOKUP($B46,NMBS_ticketten!$G$6:$I$155,3,FALSE)*$B$5*$E$5</f>
        <v>1490.3999999999999</v>
      </c>
      <c r="L46" s="101" t="str">
        <f t="shared" si="0"/>
        <v/>
      </c>
      <c r="M46" s="101">
        <f t="shared" si="1"/>
        <v>2203.2000000000003</v>
      </c>
      <c r="N46" s="103">
        <f t="shared" si="2"/>
        <v>669.6</v>
      </c>
      <c r="O46" s="174"/>
      <c r="P46" s="269">
        <f t="shared" si="18"/>
        <v>1177</v>
      </c>
      <c r="Q46" s="271">
        <f t="shared" si="19"/>
        <v>1177</v>
      </c>
      <c r="R46" s="208">
        <f>IFERROR(VLOOKUP($B46,NMBS_abonnementen!$G$7:$J$156,4,FALSE)*$CS$11,"-")</f>
        <v>2352</v>
      </c>
      <c r="S46" s="209">
        <f t="shared" si="20"/>
        <v>1175</v>
      </c>
      <c r="T46" s="208">
        <f>IFERROR(VLOOKUP($B46,NMBS_abonnementen!$G$7:$N$156,8,FALSE)*$CS$12,"-")</f>
        <v>2168</v>
      </c>
      <c r="U46" s="209">
        <f t="shared" si="21"/>
        <v>991</v>
      </c>
      <c r="V46" s="210">
        <f>IFERROR(VLOOKUP($B46,NMBS_abonnementen!$G$7:$R$156,12,FALSE)*$CS$13,"-")</f>
        <v>1813</v>
      </c>
      <c r="W46" s="209">
        <f t="shared" si="22"/>
        <v>636</v>
      </c>
      <c r="X46" s="208">
        <f>IFERROR(VLOOKUP($B46,NMBS_abonnementen!$G$7:$K$156,5,FALSE)*$CS$18,"-")</f>
        <v>2160</v>
      </c>
      <c r="Y46" s="209">
        <f t="shared" si="23"/>
        <v>983</v>
      </c>
      <c r="Z46" s="208">
        <f>IFERROR(VLOOKUP($B46,NMBS_abonnementen!$G$7:$O$156,9,FALSE)*$CS$19,"-")</f>
        <v>1964</v>
      </c>
      <c r="AA46" s="209">
        <f t="shared" si="24"/>
        <v>787</v>
      </c>
      <c r="AB46" s="210">
        <f>IFERROR(VLOOKUP($B46,NMBS_abonnementen!$G$7:$S$156,13,FALSE),"-")</f>
        <v>1689</v>
      </c>
      <c r="AC46" s="198">
        <f t="shared" si="17"/>
        <v>720</v>
      </c>
      <c r="AD46" s="198">
        <f t="shared" si="25"/>
        <v>50.399999999999977</v>
      </c>
      <c r="AE46" s="198">
        <f t="shared" si="26"/>
        <v>484</v>
      </c>
      <c r="AF46" s="198">
        <f t="shared" si="27"/>
        <v>-236</v>
      </c>
      <c r="AH46" s="198">
        <f t="shared" si="28"/>
        <v>669.6</v>
      </c>
      <c r="AI46" s="198">
        <f t="shared" si="29"/>
        <v>185.60000000000002</v>
      </c>
      <c r="AJ46" s="198">
        <f t="shared" si="30"/>
        <v>669.6</v>
      </c>
      <c r="AK46" s="198">
        <f t="shared" si="31"/>
        <v>0</v>
      </c>
      <c r="AL46" s="179"/>
      <c r="AM46" s="175"/>
      <c r="AN46" s="175"/>
      <c r="AQ46" s="279"/>
      <c r="AR46" s="279"/>
      <c r="AS46" s="306" t="s">
        <v>50</v>
      </c>
      <c r="AT46" s="265"/>
      <c r="AU46" s="300" t="s">
        <v>51</v>
      </c>
      <c r="AV46" s="300" t="s">
        <v>69</v>
      </c>
      <c r="AW46" s="265"/>
      <c r="AX46" s="300" t="s">
        <v>79</v>
      </c>
      <c r="AY46" s="304" t="s">
        <v>54</v>
      </c>
      <c r="BA46" s="216" t="s">
        <v>82</v>
      </c>
      <c r="BB46" s="181" t="s">
        <v>74</v>
      </c>
      <c r="BC46" s="235">
        <v>2</v>
      </c>
      <c r="BD46" s="217">
        <f>BD45*BC46</f>
        <v>43.2</v>
      </c>
      <c r="BE46" s="218"/>
      <c r="BN46" s="319" t="s">
        <v>83</v>
      </c>
      <c r="BO46" s="317"/>
      <c r="BP46" s="317"/>
      <c r="BQ46" s="317"/>
      <c r="BR46" s="318"/>
      <c r="BT46" s="319" t="s">
        <v>84</v>
      </c>
      <c r="BU46" s="317"/>
      <c r="BV46" s="317"/>
      <c r="BW46" s="317"/>
      <c r="BX46" s="318"/>
      <c r="BY46" s="181"/>
      <c r="BZ46" s="181"/>
    </row>
    <row r="47" spans="2:88" ht="12" customHeight="1">
      <c r="B47" s="110">
        <v>37</v>
      </c>
      <c r="C47" s="102">
        <f>NMBS_flexabo!$C41*$AR$15</f>
        <v>1404</v>
      </c>
      <c r="D47" s="102">
        <f>NMBS_flexabo!$D41*$AR$22</f>
        <v>1243</v>
      </c>
      <c r="E47" s="102">
        <f>NMBS_flexabo!$E41*VLOOKUP($B$5,$AS$43:$AY$43,7,FALSE)</f>
        <v>1336.5</v>
      </c>
      <c r="F47" s="102">
        <f>NMBS_flexabo!$F41*VLOOKUP($B$5,$AS$45:$AY$48,7,FALSE)</f>
        <v>1309</v>
      </c>
      <c r="G47" s="104">
        <f>IFERROR(VLOOKUP($B47,NMBS_abonnementen!$G$7:$H$156,2,FALSE),"-")*VLOOKUP($B$5,NMBS_halftijds!$P$4:$Q$44,2)</f>
        <v>1310.1004800000001</v>
      </c>
      <c r="H47" s="104">
        <f>IFERROR(VLOOKUP($B47,NMBS_abonnementen!$G$7:$I$156,3,FALSE)*$BB$22,"-")</f>
        <v>1920</v>
      </c>
      <c r="I47" s="104">
        <f>IFERROR(VLOOKUP($B47,NMBS_abonnementen!$G$7:$M$156,7,FALSE)*$BB$23,"-")</f>
        <v>1788</v>
      </c>
      <c r="J47" s="104" t="str">
        <f>IFERROR(VLOOKUP($B47,NMBS_abonnementen!$G$7:$Q$156,11,FALSE),"-")</f>
        <v xml:space="preserve"> 1597,00</v>
      </c>
      <c r="K47" s="104">
        <f>VLOOKUP($B47,NMBS_ticketten!$G$6:$I$155,3,FALSE)*$B$5*$E$5</f>
        <v>1598.4</v>
      </c>
      <c r="L47" s="101" t="str">
        <f t="shared" si="0"/>
        <v/>
      </c>
      <c r="M47" s="101">
        <f t="shared" si="1"/>
        <v>2203.2000000000003</v>
      </c>
      <c r="N47" s="103">
        <f t="shared" si="2"/>
        <v>669.6</v>
      </c>
      <c r="O47" s="174"/>
      <c r="P47" s="269">
        <f t="shared" si="18"/>
        <v>1243</v>
      </c>
      <c r="Q47" s="271">
        <f t="shared" si="19"/>
        <v>1243</v>
      </c>
      <c r="R47" s="208">
        <f>IFERROR(VLOOKUP($B47,NMBS_abonnementen!$G$7:$J$156,4,FALSE)*$CS$11,"-")</f>
        <v>2460</v>
      </c>
      <c r="S47" s="209">
        <f t="shared" si="20"/>
        <v>1217</v>
      </c>
      <c r="T47" s="208">
        <f>IFERROR(VLOOKUP($B47,NMBS_abonnementen!$G$7:$N$156,8,FALSE)*$CS$12,"-")</f>
        <v>2260</v>
      </c>
      <c r="U47" s="209">
        <f t="shared" si="21"/>
        <v>1017</v>
      </c>
      <c r="V47" s="210">
        <f>IFERROR(VLOOKUP($B47,NMBS_abonnementen!$G$7:$R$156,12,FALSE)*$CS$13,"-")</f>
        <v>1896</v>
      </c>
      <c r="W47" s="209">
        <f t="shared" si="22"/>
        <v>653</v>
      </c>
      <c r="X47" s="208">
        <f>IFERROR(VLOOKUP($B47,NMBS_abonnementen!$G$7:$K$156,5,FALSE)*$CS$18,"-")</f>
        <v>2268</v>
      </c>
      <c r="Y47" s="209">
        <f t="shared" si="23"/>
        <v>1025</v>
      </c>
      <c r="Z47" s="208">
        <f>IFERROR(VLOOKUP($B47,NMBS_abonnementen!$G$7:$O$156,9,FALSE)*$CS$19,"-")</f>
        <v>2056</v>
      </c>
      <c r="AA47" s="209">
        <f t="shared" si="24"/>
        <v>813</v>
      </c>
      <c r="AB47" s="210">
        <f>IFERROR(VLOOKUP($B47,NMBS_abonnementen!$G$7:$S$156,13,FALSE),"-")</f>
        <v>1772</v>
      </c>
      <c r="AC47" s="198">
        <f t="shared" si="17"/>
        <v>720</v>
      </c>
      <c r="AD47" s="198">
        <f t="shared" si="25"/>
        <v>50.399999999999977</v>
      </c>
      <c r="AE47" s="198">
        <f t="shared" si="26"/>
        <v>484</v>
      </c>
      <c r="AF47" s="198">
        <f t="shared" si="27"/>
        <v>-236</v>
      </c>
      <c r="AH47" s="198">
        <f t="shared" si="28"/>
        <v>669.6</v>
      </c>
      <c r="AI47" s="198">
        <f t="shared" si="29"/>
        <v>185.60000000000002</v>
      </c>
      <c r="AJ47" s="198">
        <f t="shared" si="30"/>
        <v>669.6</v>
      </c>
      <c r="AK47" s="198">
        <f t="shared" si="31"/>
        <v>0</v>
      </c>
      <c r="AL47" s="179"/>
      <c r="AM47" s="175"/>
      <c r="AN47" s="175"/>
      <c r="AQ47" s="279"/>
      <c r="AR47" s="279"/>
      <c r="AS47" s="307"/>
      <c r="AT47" s="266"/>
      <c r="AU47" s="301"/>
      <c r="AV47" s="301"/>
      <c r="AW47" s="266"/>
      <c r="AX47" s="301"/>
      <c r="AY47" s="305"/>
      <c r="BB47" s="181" t="s">
        <v>12</v>
      </c>
      <c r="BC47" s="181">
        <v>0</v>
      </c>
      <c r="BD47" s="217">
        <f>BD46*BC47</f>
        <v>0</v>
      </c>
      <c r="BN47" s="200">
        <v>583</v>
      </c>
      <c r="BO47" s="201"/>
      <c r="BP47" s="201"/>
      <c r="BQ47" s="201"/>
      <c r="BR47" s="202"/>
      <c r="BT47" s="200">
        <v>775</v>
      </c>
      <c r="BU47" s="201"/>
      <c r="BV47" s="201"/>
      <c r="BW47" s="201"/>
      <c r="BX47" s="202"/>
      <c r="BY47" s="181"/>
      <c r="BZ47" s="181"/>
    </row>
    <row r="48" spans="2:88" ht="12" customHeight="1">
      <c r="B48" s="110">
        <v>38</v>
      </c>
      <c r="C48" s="102">
        <f>NMBS_flexabo!$C42*$AR$15</f>
        <v>1404</v>
      </c>
      <c r="D48" s="102">
        <f>NMBS_flexabo!$D42*$AR$22</f>
        <v>1243</v>
      </c>
      <c r="E48" s="102">
        <f>NMBS_flexabo!$E42*VLOOKUP($B$5,$AS$43:$AY$43,7,FALSE)</f>
        <v>1336.5</v>
      </c>
      <c r="F48" s="102">
        <f>NMBS_flexabo!$F42*VLOOKUP($B$5,$AS$45:$AY$48,7,FALSE)</f>
        <v>1309</v>
      </c>
      <c r="G48" s="104">
        <f>IFERROR(VLOOKUP($B48,NMBS_abonnementen!$G$7:$H$156,2,FALSE),"-")*VLOOKUP($B$5,NMBS_halftijds!$P$4:$Q$44,2)</f>
        <v>1310.1004800000001</v>
      </c>
      <c r="H48" s="104">
        <f>IFERROR(VLOOKUP($B48,NMBS_abonnementen!$G$7:$I$156,3,FALSE)*$BB$22,"-")</f>
        <v>1920</v>
      </c>
      <c r="I48" s="104">
        <f>IFERROR(VLOOKUP($B48,NMBS_abonnementen!$G$7:$M$156,7,FALSE)*$BB$23,"-")</f>
        <v>1788</v>
      </c>
      <c r="J48" s="104" t="str">
        <f>IFERROR(VLOOKUP($B48,NMBS_abonnementen!$G$7:$Q$156,11,FALSE),"-")</f>
        <v xml:space="preserve"> 1597,00</v>
      </c>
      <c r="K48" s="104">
        <f>VLOOKUP($B48,NMBS_ticketten!$G$6:$I$155,3,FALSE)*$B$5*$E$5</f>
        <v>1598.4</v>
      </c>
      <c r="L48" s="101" t="str">
        <f t="shared" si="0"/>
        <v/>
      </c>
      <c r="M48" s="101">
        <f t="shared" si="1"/>
        <v>2203.2000000000003</v>
      </c>
      <c r="N48" s="103">
        <f t="shared" si="2"/>
        <v>669.6</v>
      </c>
      <c r="O48" s="174"/>
      <c r="P48" s="269">
        <f t="shared" si="18"/>
        <v>1243</v>
      </c>
      <c r="Q48" s="271">
        <f t="shared" si="19"/>
        <v>1243</v>
      </c>
      <c r="R48" s="208">
        <f>IFERROR(VLOOKUP($B48,NMBS_abonnementen!$G$7:$J$156,4,FALSE)*$CS$11,"-")</f>
        <v>2460</v>
      </c>
      <c r="S48" s="209">
        <f t="shared" si="20"/>
        <v>1217</v>
      </c>
      <c r="T48" s="208">
        <f>IFERROR(VLOOKUP($B48,NMBS_abonnementen!$G$7:$N$156,8,FALSE)*$CS$12,"-")</f>
        <v>2260</v>
      </c>
      <c r="U48" s="209">
        <f t="shared" si="21"/>
        <v>1017</v>
      </c>
      <c r="V48" s="210">
        <f>IFERROR(VLOOKUP($B48,NMBS_abonnementen!$G$7:$R$156,12,FALSE)*$CS$13,"-")</f>
        <v>1896</v>
      </c>
      <c r="W48" s="209">
        <f t="shared" si="22"/>
        <v>653</v>
      </c>
      <c r="X48" s="208">
        <f>IFERROR(VLOOKUP($B48,NMBS_abonnementen!$G$7:$K$156,5,FALSE)*$CS$18,"-")</f>
        <v>2268</v>
      </c>
      <c r="Y48" s="209">
        <f t="shared" si="23"/>
        <v>1025</v>
      </c>
      <c r="Z48" s="208">
        <f>IFERROR(VLOOKUP($B48,NMBS_abonnementen!$G$7:$O$156,9,FALSE)*$CS$19,"-")</f>
        <v>2056</v>
      </c>
      <c r="AA48" s="209">
        <f t="shared" si="24"/>
        <v>813</v>
      </c>
      <c r="AB48" s="210">
        <f>IFERROR(VLOOKUP($B48,NMBS_abonnementen!$G$7:$S$156,13,FALSE),"-")</f>
        <v>1772</v>
      </c>
      <c r="AC48" s="198">
        <f t="shared" si="17"/>
        <v>720</v>
      </c>
      <c r="AD48" s="198">
        <f t="shared" si="25"/>
        <v>50.399999999999977</v>
      </c>
      <c r="AE48" s="198">
        <f t="shared" si="26"/>
        <v>484</v>
      </c>
      <c r="AF48" s="198">
        <f t="shared" si="27"/>
        <v>-236</v>
      </c>
      <c r="AH48" s="198">
        <f t="shared" si="28"/>
        <v>669.6</v>
      </c>
      <c r="AI48" s="198">
        <f t="shared" si="29"/>
        <v>185.60000000000002</v>
      </c>
      <c r="AJ48" s="198">
        <f t="shared" si="30"/>
        <v>669.6</v>
      </c>
      <c r="AK48" s="198">
        <f t="shared" si="31"/>
        <v>0</v>
      </c>
      <c r="AL48" s="179"/>
      <c r="AM48" s="175"/>
      <c r="AN48" s="175"/>
      <c r="AQ48" s="279"/>
      <c r="AR48" s="279"/>
      <c r="AS48" s="216">
        <f>$B$5</f>
        <v>2.4</v>
      </c>
      <c r="AT48" s="235"/>
      <c r="AU48" s="235">
        <f>AS48*$E$5</f>
        <v>108</v>
      </c>
      <c r="AV48" s="235">
        <f>AU48-$AS$45</f>
        <v>-12</v>
      </c>
      <c r="AW48" s="235"/>
      <c r="AX48" s="218">
        <f>$AU$48/$AS$45</f>
        <v>0.9</v>
      </c>
      <c r="AY48" s="237">
        <f>IF(AX48&lt;1,ROUNDUP(AX48,0),AX48)</f>
        <v>1</v>
      </c>
      <c r="BN48" s="200"/>
      <c r="BO48" s="201"/>
      <c r="BP48" s="201"/>
      <c r="BQ48" s="201"/>
      <c r="BR48" s="202"/>
      <c r="BT48" s="200"/>
      <c r="BU48" s="201"/>
      <c r="BV48" s="201"/>
      <c r="BW48" s="201"/>
      <c r="BX48" s="202"/>
      <c r="BY48" s="181"/>
      <c r="BZ48" s="181"/>
    </row>
    <row r="49" spans="2:76" ht="12" customHeight="1">
      <c r="B49" s="110">
        <v>39</v>
      </c>
      <c r="C49" s="102">
        <f>NMBS_flexabo!$C43*$AR$15</f>
        <v>1404</v>
      </c>
      <c r="D49" s="102">
        <f>NMBS_flexabo!$D43*$AR$22</f>
        <v>1243</v>
      </c>
      <c r="E49" s="102">
        <f>NMBS_flexabo!$E43*VLOOKUP($B$5,$AS$43:$AY$43,7,FALSE)</f>
        <v>1336.5</v>
      </c>
      <c r="F49" s="102">
        <f>NMBS_flexabo!$F43*VLOOKUP($B$5,$AS$45:$AY$48,7,FALSE)</f>
        <v>1309</v>
      </c>
      <c r="G49" s="104">
        <f>IFERROR(VLOOKUP($B49,NMBS_abonnementen!$G$7:$H$156,2,FALSE),"-")*VLOOKUP($B$5,NMBS_halftijds!$P$4:$Q$44,2)</f>
        <v>1310.1004800000001</v>
      </c>
      <c r="H49" s="104">
        <f>IFERROR(VLOOKUP($B49,NMBS_abonnementen!$G$7:$I$156,3,FALSE)*$BB$22,"-")</f>
        <v>1920</v>
      </c>
      <c r="I49" s="104">
        <f>IFERROR(VLOOKUP($B49,NMBS_abonnementen!$G$7:$M$156,7,FALSE)*$BB$23,"-")</f>
        <v>1788</v>
      </c>
      <c r="J49" s="104" t="str">
        <f>IFERROR(VLOOKUP($B49,NMBS_abonnementen!$G$7:$Q$156,11,FALSE),"-")</f>
        <v xml:space="preserve"> 1597,00</v>
      </c>
      <c r="K49" s="104">
        <f>VLOOKUP($B49,NMBS_ticketten!$G$6:$I$155,3,FALSE)*$B$5*$E$5</f>
        <v>1598.4</v>
      </c>
      <c r="L49" s="101" t="str">
        <f t="shared" si="0"/>
        <v/>
      </c>
      <c r="M49" s="101">
        <f t="shared" si="1"/>
        <v>2203.2000000000003</v>
      </c>
      <c r="N49" s="103">
        <f t="shared" si="2"/>
        <v>669.6</v>
      </c>
      <c r="O49" s="174"/>
      <c r="P49" s="269">
        <f t="shared" si="18"/>
        <v>1243</v>
      </c>
      <c r="Q49" s="271">
        <f t="shared" si="19"/>
        <v>1243</v>
      </c>
      <c r="R49" s="208">
        <f>IFERROR(VLOOKUP($B49,NMBS_abonnementen!$G$7:$J$156,4,FALSE)*$CS$11,"-")</f>
        <v>2460</v>
      </c>
      <c r="S49" s="209">
        <f t="shared" si="20"/>
        <v>1217</v>
      </c>
      <c r="T49" s="208">
        <f>IFERROR(VLOOKUP($B49,NMBS_abonnementen!$G$7:$N$156,8,FALSE)*$CS$12,"-")</f>
        <v>2260</v>
      </c>
      <c r="U49" s="209">
        <f t="shared" si="21"/>
        <v>1017</v>
      </c>
      <c r="V49" s="210">
        <f>IFERROR(VLOOKUP($B49,NMBS_abonnementen!$G$7:$R$156,12,FALSE)*$CS$13,"-")</f>
        <v>1896</v>
      </c>
      <c r="W49" s="209">
        <f t="shared" si="22"/>
        <v>653</v>
      </c>
      <c r="X49" s="208">
        <f>IFERROR(VLOOKUP($B49,NMBS_abonnementen!$G$7:$K$156,5,FALSE)*$CS$18,"-")</f>
        <v>2268</v>
      </c>
      <c r="Y49" s="209">
        <f t="shared" si="23"/>
        <v>1025</v>
      </c>
      <c r="Z49" s="208">
        <f>IFERROR(VLOOKUP($B49,NMBS_abonnementen!$G$7:$O$156,9,FALSE)*$CS$19,"-")</f>
        <v>2056</v>
      </c>
      <c r="AA49" s="209">
        <f t="shared" si="24"/>
        <v>813</v>
      </c>
      <c r="AB49" s="210">
        <f>IFERROR(VLOOKUP($B49,NMBS_abonnementen!$G$7:$S$156,13,FALSE),"-")</f>
        <v>1772</v>
      </c>
      <c r="AC49" s="198">
        <f t="shared" si="17"/>
        <v>720</v>
      </c>
      <c r="AD49" s="198">
        <f t="shared" si="25"/>
        <v>50.399999999999977</v>
      </c>
      <c r="AE49" s="198">
        <f t="shared" si="26"/>
        <v>484</v>
      </c>
      <c r="AF49" s="198">
        <f t="shared" si="27"/>
        <v>-236</v>
      </c>
      <c r="AH49" s="198">
        <f t="shared" si="28"/>
        <v>669.6</v>
      </c>
      <c r="AI49" s="198">
        <f t="shared" si="29"/>
        <v>185.60000000000002</v>
      </c>
      <c r="AJ49" s="198">
        <f t="shared" si="30"/>
        <v>669.6</v>
      </c>
      <c r="AK49" s="198">
        <f t="shared" si="31"/>
        <v>0</v>
      </c>
      <c r="AL49" s="179"/>
      <c r="AM49" s="175"/>
      <c r="AN49" s="175"/>
      <c r="AQ49" s="279"/>
      <c r="AR49" s="279"/>
      <c r="AS49" s="173"/>
      <c r="AT49" s="173"/>
      <c r="AU49" s="173"/>
      <c r="AV49" s="173"/>
      <c r="AW49" s="173"/>
      <c r="AX49" s="173"/>
      <c r="AY49" s="173"/>
      <c r="BN49" s="224">
        <v>1</v>
      </c>
      <c r="BO49" s="225">
        <f>BN49*$E$5</f>
        <v>45</v>
      </c>
      <c r="BP49" s="226">
        <v>1</v>
      </c>
      <c r="BQ49" s="226">
        <f>$BN$47</f>
        <v>583</v>
      </c>
      <c r="BR49" s="227">
        <f>BQ49*BP49</f>
        <v>583</v>
      </c>
      <c r="BT49" s="224">
        <v>1</v>
      </c>
      <c r="BU49" s="225">
        <f>BT49*$E$5</f>
        <v>45</v>
      </c>
      <c r="BV49" s="226">
        <v>1</v>
      </c>
      <c r="BW49" s="226">
        <f>$BT$47</f>
        <v>775</v>
      </c>
      <c r="BX49" s="227">
        <f>BW49*BV49</f>
        <v>775</v>
      </c>
    </row>
    <row r="50" spans="2:76" ht="12" customHeight="1">
      <c r="B50" s="110">
        <v>40</v>
      </c>
      <c r="C50" s="102">
        <f>NMBS_flexabo!$C44*$AR$15</f>
        <v>1476</v>
      </c>
      <c r="D50" s="102">
        <f>NMBS_flexabo!$D44*$AR$22</f>
        <v>1309</v>
      </c>
      <c r="E50" s="102">
        <f>NMBS_flexabo!$E44*VLOOKUP($B$5,$AS$43:$AY$43,7,FALSE)</f>
        <v>1405.3500000000001</v>
      </c>
      <c r="F50" s="102">
        <f>NMBS_flexabo!$F44*VLOOKUP($B$5,$AS$45:$AY$48,7,FALSE)</f>
        <v>1377</v>
      </c>
      <c r="G50" s="104">
        <f>IFERROR(VLOOKUP($B50,NMBS_abonnementen!$G$7:$H$156,2,FALSE),"-")*VLOOKUP($B$5,NMBS_halftijds!$P$4:$Q$44,2)</f>
        <v>1382.8838400000002</v>
      </c>
      <c r="H50" s="104">
        <f>IFERROR(VLOOKUP($B50,NMBS_abonnementen!$G$7:$I$156,3,FALSE)*$BB$22,"-")</f>
        <v>2016</v>
      </c>
      <c r="I50" s="104">
        <f>IFERROR(VLOOKUP($B50,NMBS_abonnementen!$G$7:$M$156,7,FALSE)*$BB$23,"-")</f>
        <v>1880</v>
      </c>
      <c r="J50" s="104" t="str">
        <f>IFERROR(VLOOKUP($B50,NMBS_abonnementen!$G$7:$Q$156,11,FALSE),"-")</f>
        <v xml:space="preserve"> 1680,00</v>
      </c>
      <c r="K50" s="104">
        <f>VLOOKUP($B50,NMBS_ticketten!$G$6:$I$155,3,FALSE)*$B$5*$E$5</f>
        <v>1706.4</v>
      </c>
      <c r="L50" s="101" t="str">
        <f t="shared" si="0"/>
        <v/>
      </c>
      <c r="M50" s="101">
        <f t="shared" si="1"/>
        <v>2203.2000000000003</v>
      </c>
      <c r="N50" s="103">
        <f t="shared" si="2"/>
        <v>669.6</v>
      </c>
      <c r="O50" s="174"/>
      <c r="P50" s="269">
        <f t="shared" si="18"/>
        <v>1309</v>
      </c>
      <c r="Q50" s="271">
        <f t="shared" si="19"/>
        <v>1309</v>
      </c>
      <c r="R50" s="208">
        <f>IFERROR(VLOOKUP($B50,NMBS_abonnementen!$G$7:$J$156,4,FALSE)*$CS$11,"-")</f>
        <v>2556</v>
      </c>
      <c r="S50" s="209">
        <f t="shared" si="20"/>
        <v>1247</v>
      </c>
      <c r="T50" s="208">
        <f>IFERROR(VLOOKUP($B50,NMBS_abonnementen!$G$7:$N$156,8,FALSE)*$CS$12,"-")</f>
        <v>2352</v>
      </c>
      <c r="U50" s="209">
        <f t="shared" si="21"/>
        <v>1043</v>
      </c>
      <c r="V50" s="210">
        <f>IFERROR(VLOOKUP($B50,NMBS_abonnementen!$G$7:$R$156,12,FALSE)*$CS$13,"-")</f>
        <v>1979</v>
      </c>
      <c r="W50" s="209">
        <f t="shared" si="22"/>
        <v>670</v>
      </c>
      <c r="X50" s="208">
        <f>IFERROR(VLOOKUP($B50,NMBS_abonnementen!$G$7:$K$156,5,FALSE)*$CS$18,"-")</f>
        <v>2364</v>
      </c>
      <c r="Y50" s="209">
        <f t="shared" si="23"/>
        <v>1055</v>
      </c>
      <c r="Z50" s="208">
        <f>IFERROR(VLOOKUP($B50,NMBS_abonnementen!$G$7:$O$156,9,FALSE)*$CS$19,"-")</f>
        <v>2148</v>
      </c>
      <c r="AA50" s="209">
        <f t="shared" si="24"/>
        <v>839</v>
      </c>
      <c r="AB50" s="210">
        <f>IFERROR(VLOOKUP($B50,NMBS_abonnementen!$G$7:$S$156,13,FALSE),"-")</f>
        <v>1855</v>
      </c>
      <c r="AC50" s="198">
        <f t="shared" si="17"/>
        <v>720</v>
      </c>
      <c r="AD50" s="198">
        <f t="shared" si="25"/>
        <v>50.399999999999977</v>
      </c>
      <c r="AE50" s="198">
        <f t="shared" si="26"/>
        <v>484</v>
      </c>
      <c r="AF50" s="198">
        <f t="shared" si="27"/>
        <v>-236</v>
      </c>
      <c r="AH50" s="198">
        <f t="shared" si="28"/>
        <v>669.6</v>
      </c>
      <c r="AI50" s="198">
        <f t="shared" si="29"/>
        <v>185.60000000000002</v>
      </c>
      <c r="AJ50" s="198">
        <f t="shared" si="30"/>
        <v>669.6</v>
      </c>
      <c r="AK50" s="198">
        <f t="shared" si="31"/>
        <v>0</v>
      </c>
      <c r="AL50" s="179"/>
      <c r="AM50" s="175"/>
      <c r="AN50" s="175"/>
      <c r="AX50" s="181"/>
      <c r="AY50" s="181"/>
      <c r="BN50" s="224">
        <v>2</v>
      </c>
      <c r="BO50" s="225">
        <f>BN50*$E$5</f>
        <v>90</v>
      </c>
      <c r="BP50" s="226">
        <v>1</v>
      </c>
      <c r="BQ50" s="226">
        <f>$BN$47</f>
        <v>583</v>
      </c>
      <c r="BR50" s="227">
        <f>BQ50*BP50</f>
        <v>583</v>
      </c>
      <c r="BT50" s="224">
        <v>2</v>
      </c>
      <c r="BU50" s="225">
        <f>BT50*$E$5</f>
        <v>90</v>
      </c>
      <c r="BV50" s="226">
        <v>1</v>
      </c>
      <c r="BW50" s="226">
        <f>$BT$47</f>
        <v>775</v>
      </c>
      <c r="BX50" s="227">
        <f>BW50*BV50</f>
        <v>775</v>
      </c>
    </row>
    <row r="51" spans="2:76" ht="12" customHeight="1">
      <c r="B51" s="110">
        <v>41</v>
      </c>
      <c r="C51" s="102">
        <f>NMBS_flexabo!$C45*$AR$15</f>
        <v>1476</v>
      </c>
      <c r="D51" s="102">
        <f>NMBS_flexabo!$D45*$AR$22</f>
        <v>1309</v>
      </c>
      <c r="E51" s="102">
        <f>NMBS_flexabo!$E45*VLOOKUP($B$5,$AS$43:$AY$43,7,FALSE)</f>
        <v>1405.3500000000001</v>
      </c>
      <c r="F51" s="102">
        <f>NMBS_flexabo!$F45*VLOOKUP($B$5,$AS$45:$AY$48,7,FALSE)</f>
        <v>1377</v>
      </c>
      <c r="G51" s="104">
        <f>IFERROR(VLOOKUP($B51,NMBS_abonnementen!$G$7:$H$156,2,FALSE),"-")*VLOOKUP($B$5,NMBS_halftijds!$P$4:$Q$44,2)</f>
        <v>1382.8838400000002</v>
      </c>
      <c r="H51" s="104">
        <f>IFERROR(VLOOKUP($B51,NMBS_abonnementen!$G$7:$I$156,3,FALSE)*$BB$22,"-")</f>
        <v>2016</v>
      </c>
      <c r="I51" s="104">
        <f>IFERROR(VLOOKUP($B51,NMBS_abonnementen!$G$7:$M$156,7,FALSE)*$BB$23,"-")</f>
        <v>1880</v>
      </c>
      <c r="J51" s="104" t="str">
        <f>IFERROR(VLOOKUP($B51,NMBS_abonnementen!$G$7:$Q$156,11,FALSE),"-")</f>
        <v xml:space="preserve"> 1680,00</v>
      </c>
      <c r="K51" s="104">
        <f>VLOOKUP($B51,NMBS_ticketten!$G$6:$I$155,3,FALSE)*$B$5*$E$5</f>
        <v>1706.4</v>
      </c>
      <c r="L51" s="101" t="str">
        <f t="shared" si="0"/>
        <v/>
      </c>
      <c r="M51" s="101">
        <f t="shared" si="1"/>
        <v>2203.2000000000003</v>
      </c>
      <c r="N51" s="103">
        <f t="shared" si="2"/>
        <v>669.6</v>
      </c>
      <c r="O51" s="174"/>
      <c r="P51" s="269">
        <f t="shared" si="18"/>
        <v>1309</v>
      </c>
      <c r="Q51" s="271">
        <f t="shared" si="19"/>
        <v>1309</v>
      </c>
      <c r="R51" s="208">
        <f>IFERROR(VLOOKUP($B51,NMBS_abonnementen!$G$7:$J$156,4,FALSE)*$CS$11,"-")</f>
        <v>2556</v>
      </c>
      <c r="S51" s="209">
        <f t="shared" si="20"/>
        <v>1247</v>
      </c>
      <c r="T51" s="208">
        <f>IFERROR(VLOOKUP($B51,NMBS_abonnementen!$G$7:$N$156,8,FALSE)*$CS$12,"-")</f>
        <v>2352</v>
      </c>
      <c r="U51" s="209">
        <f t="shared" si="21"/>
        <v>1043</v>
      </c>
      <c r="V51" s="210">
        <f>IFERROR(VLOOKUP($B51,NMBS_abonnementen!$G$7:$R$156,12,FALSE)*$CS$13,"-")</f>
        <v>1979</v>
      </c>
      <c r="W51" s="209">
        <f t="shared" si="22"/>
        <v>670</v>
      </c>
      <c r="X51" s="208">
        <f>IFERROR(VLOOKUP($B51,NMBS_abonnementen!$G$7:$K$156,5,FALSE)*$CS$18,"-")</f>
        <v>2364</v>
      </c>
      <c r="Y51" s="209">
        <f t="shared" si="23"/>
        <v>1055</v>
      </c>
      <c r="Z51" s="208">
        <f>IFERROR(VLOOKUP($B51,NMBS_abonnementen!$G$7:$O$156,9,FALSE)*$CS$19,"-")</f>
        <v>2148</v>
      </c>
      <c r="AA51" s="209">
        <f t="shared" si="24"/>
        <v>839</v>
      </c>
      <c r="AB51" s="210">
        <f>IFERROR(VLOOKUP($B51,NMBS_abonnementen!$G$7:$S$156,13,FALSE),"-")</f>
        <v>1855</v>
      </c>
      <c r="AC51" s="198">
        <f t="shared" si="17"/>
        <v>720</v>
      </c>
      <c r="AD51" s="198">
        <f t="shared" si="25"/>
        <v>50.399999999999977</v>
      </c>
      <c r="AE51" s="198">
        <f t="shared" si="26"/>
        <v>484</v>
      </c>
      <c r="AF51" s="198">
        <f t="shared" si="27"/>
        <v>-236</v>
      </c>
      <c r="AH51" s="198">
        <f t="shared" si="28"/>
        <v>669.6</v>
      </c>
      <c r="AI51" s="198">
        <f t="shared" si="29"/>
        <v>185.60000000000002</v>
      </c>
      <c r="AJ51" s="198">
        <f t="shared" si="30"/>
        <v>669.6</v>
      </c>
      <c r="AK51" s="198">
        <f t="shared" si="31"/>
        <v>0</v>
      </c>
      <c r="AL51" s="179"/>
      <c r="AM51" s="175"/>
      <c r="AN51" s="175"/>
      <c r="AX51" s="181"/>
      <c r="AY51" s="181"/>
      <c r="BA51" s="181">
        <v>1</v>
      </c>
      <c r="BN51" s="224">
        <v>3</v>
      </c>
      <c r="BO51" s="225">
        <f>BN51*$E$5</f>
        <v>135</v>
      </c>
      <c r="BP51" s="226">
        <v>1</v>
      </c>
      <c r="BQ51" s="226">
        <f>$BN$47</f>
        <v>583</v>
      </c>
      <c r="BR51" s="227">
        <f>BQ51*BP51</f>
        <v>583</v>
      </c>
      <c r="BT51" s="224">
        <v>3</v>
      </c>
      <c r="BU51" s="225">
        <f>BT51*$E$5</f>
        <v>135</v>
      </c>
      <c r="BV51" s="226">
        <v>1</v>
      </c>
      <c r="BW51" s="226">
        <f>$BT$47</f>
        <v>775</v>
      </c>
      <c r="BX51" s="227">
        <f>BW51*BV51</f>
        <v>775</v>
      </c>
    </row>
    <row r="52" spans="2:76" ht="12" customHeight="1">
      <c r="B52" s="110">
        <v>42</v>
      </c>
      <c r="C52" s="102">
        <f>NMBS_flexabo!$C46*$AR$15</f>
        <v>1476</v>
      </c>
      <c r="D52" s="102">
        <f>NMBS_flexabo!$D46*$AR$22</f>
        <v>1309</v>
      </c>
      <c r="E52" s="102">
        <f>NMBS_flexabo!$E46*VLOOKUP($B$5,$AS$43:$AY$43,7,FALSE)</f>
        <v>1405.3500000000001</v>
      </c>
      <c r="F52" s="102">
        <f>NMBS_flexabo!$F46*VLOOKUP($B$5,$AS$45:$AY$48,7,FALSE)</f>
        <v>1377</v>
      </c>
      <c r="G52" s="104">
        <f>IFERROR(VLOOKUP($B52,NMBS_abonnementen!$G$7:$H$156,2,FALSE),"-")*VLOOKUP($B$5,NMBS_halftijds!$P$4:$Q$44,2)</f>
        <v>1382.8838400000002</v>
      </c>
      <c r="H52" s="104">
        <f>IFERROR(VLOOKUP($B52,NMBS_abonnementen!$G$7:$I$156,3,FALSE)*$BB$22,"-")</f>
        <v>2016</v>
      </c>
      <c r="I52" s="104">
        <f>IFERROR(VLOOKUP($B52,NMBS_abonnementen!$G$7:$M$156,7,FALSE)*$BB$23,"-")</f>
        <v>1880</v>
      </c>
      <c r="J52" s="104" t="str">
        <f>IFERROR(VLOOKUP($B52,NMBS_abonnementen!$G$7:$Q$156,11,FALSE),"-")</f>
        <v xml:space="preserve"> 1680,00</v>
      </c>
      <c r="K52" s="104">
        <f>VLOOKUP($B52,NMBS_ticketten!$G$6:$I$155,3,FALSE)*$B$5*$E$5</f>
        <v>1706.4</v>
      </c>
      <c r="L52" s="101" t="str">
        <f t="shared" si="0"/>
        <v/>
      </c>
      <c r="M52" s="101">
        <f t="shared" si="1"/>
        <v>2203.2000000000003</v>
      </c>
      <c r="N52" s="103">
        <f t="shared" si="2"/>
        <v>669.6</v>
      </c>
      <c r="O52" s="174"/>
      <c r="P52" s="269">
        <f t="shared" si="18"/>
        <v>1309</v>
      </c>
      <c r="Q52" s="271">
        <f t="shared" si="19"/>
        <v>1309</v>
      </c>
      <c r="R52" s="208">
        <f>IFERROR(VLOOKUP($B52,NMBS_abonnementen!$G$7:$J$156,4,FALSE)*$CS$11,"-")</f>
        <v>2556</v>
      </c>
      <c r="S52" s="209">
        <f t="shared" si="20"/>
        <v>1247</v>
      </c>
      <c r="T52" s="208">
        <f>IFERROR(VLOOKUP($B52,NMBS_abonnementen!$G$7:$N$156,8,FALSE)*$CS$12,"-")</f>
        <v>2352</v>
      </c>
      <c r="U52" s="209">
        <f t="shared" si="21"/>
        <v>1043</v>
      </c>
      <c r="V52" s="210">
        <f>IFERROR(VLOOKUP($B52,NMBS_abonnementen!$G$7:$R$156,12,FALSE)*$CS$13,"-")</f>
        <v>1979</v>
      </c>
      <c r="W52" s="209">
        <f t="shared" si="22"/>
        <v>670</v>
      </c>
      <c r="X52" s="208">
        <f>IFERROR(VLOOKUP($B52,NMBS_abonnementen!$G$7:$K$156,5,FALSE)*$CS$18,"-")</f>
        <v>2364</v>
      </c>
      <c r="Y52" s="209">
        <f t="shared" si="23"/>
        <v>1055</v>
      </c>
      <c r="Z52" s="208">
        <f>IFERROR(VLOOKUP($B52,NMBS_abonnementen!$G$7:$O$156,9,FALSE)*$CS$19,"-")</f>
        <v>2148</v>
      </c>
      <c r="AA52" s="209">
        <f t="shared" si="24"/>
        <v>839</v>
      </c>
      <c r="AB52" s="210">
        <f>IFERROR(VLOOKUP($B52,NMBS_abonnementen!$G$7:$S$156,13,FALSE),"-")</f>
        <v>1855</v>
      </c>
      <c r="AC52" s="198">
        <f t="shared" si="17"/>
        <v>720</v>
      </c>
      <c r="AD52" s="198">
        <f t="shared" si="25"/>
        <v>50.399999999999977</v>
      </c>
      <c r="AE52" s="198">
        <f t="shared" si="26"/>
        <v>484</v>
      </c>
      <c r="AF52" s="198">
        <f t="shared" si="27"/>
        <v>-236</v>
      </c>
      <c r="AH52" s="198">
        <f t="shared" si="28"/>
        <v>669.6</v>
      </c>
      <c r="AI52" s="198">
        <f t="shared" si="29"/>
        <v>185.60000000000002</v>
      </c>
      <c r="AJ52" s="198">
        <f t="shared" si="30"/>
        <v>669.6</v>
      </c>
      <c r="AK52" s="198">
        <f t="shared" si="31"/>
        <v>0</v>
      </c>
      <c r="AL52" s="179"/>
      <c r="AM52" s="175"/>
      <c r="AN52" s="175"/>
      <c r="AX52" s="181"/>
      <c r="AY52" s="181"/>
      <c r="BA52" s="181">
        <v>1.1000000000000001</v>
      </c>
      <c r="BN52" s="224">
        <v>4</v>
      </c>
      <c r="BO52" s="225">
        <f>BN52*$E$5</f>
        <v>180</v>
      </c>
      <c r="BP52" s="226">
        <v>1</v>
      </c>
      <c r="BQ52" s="226">
        <f>$BN$47</f>
        <v>583</v>
      </c>
      <c r="BR52" s="227">
        <f>BQ52*BP52</f>
        <v>583</v>
      </c>
      <c r="BT52" s="224">
        <v>4</v>
      </c>
      <c r="BU52" s="225">
        <f>BT52*$E$5</f>
        <v>180</v>
      </c>
      <c r="BV52" s="226">
        <v>1</v>
      </c>
      <c r="BW52" s="226">
        <f>$BT$47</f>
        <v>775</v>
      </c>
      <c r="BX52" s="227">
        <f>BW52*BV52</f>
        <v>775</v>
      </c>
    </row>
    <row r="53" spans="2:76" ht="12" customHeight="1">
      <c r="B53" s="110">
        <v>43</v>
      </c>
      <c r="C53" s="102">
        <f>NMBS_flexabo!$C47*$AR$15</f>
        <v>1548</v>
      </c>
      <c r="D53" s="102">
        <f>NMBS_flexabo!$D47*$AR$22</f>
        <v>1375</v>
      </c>
      <c r="E53" s="102">
        <f>NMBS_flexabo!$E47*VLOOKUP($B$5,$AS$43:$AY$43,7,FALSE)</f>
        <v>1475.5500000000002</v>
      </c>
      <c r="F53" s="102">
        <f>NMBS_flexabo!$F47*VLOOKUP($B$5,$AS$45:$AY$48,7,FALSE)</f>
        <v>1446</v>
      </c>
      <c r="G53" s="104">
        <f>IFERROR(VLOOKUP($B53,NMBS_abonnementen!$G$7:$H$156,2,FALSE),"-")*VLOOKUP($B$5,NMBS_halftijds!$P$4:$Q$44,2)</f>
        <v>1455.6672000000001</v>
      </c>
      <c r="H53" s="104">
        <f>IFERROR(VLOOKUP($B53,NMBS_abonnementen!$G$7:$I$156,3,FALSE)*$BB$22,"-")</f>
        <v>2112</v>
      </c>
      <c r="I53" s="104">
        <f>IFERROR(VLOOKUP($B53,NMBS_abonnementen!$G$7:$M$156,7,FALSE)*$BB$23,"-")</f>
        <v>1976</v>
      </c>
      <c r="J53" s="104" t="str">
        <f>IFERROR(VLOOKUP($B53,NMBS_abonnementen!$G$7:$Q$156,11,FALSE),"-")</f>
        <v xml:space="preserve"> 1763,00</v>
      </c>
      <c r="K53" s="104">
        <f>VLOOKUP($B53,NMBS_ticketten!$G$6:$I$155,3,FALSE)*$B$5*$E$5</f>
        <v>1814.4</v>
      </c>
      <c r="L53" s="101" t="str">
        <f t="shared" si="0"/>
        <v/>
      </c>
      <c r="M53" s="101">
        <f t="shared" si="1"/>
        <v>2203.2000000000003</v>
      </c>
      <c r="N53" s="103">
        <f t="shared" si="2"/>
        <v>669.6</v>
      </c>
      <c r="O53" s="174"/>
      <c r="P53" s="269">
        <f t="shared" si="18"/>
        <v>1375</v>
      </c>
      <c r="Q53" s="271">
        <f t="shared" si="19"/>
        <v>1375</v>
      </c>
      <c r="R53" s="208">
        <f>IFERROR(VLOOKUP($B53,NMBS_abonnementen!$G$7:$J$156,4,FALSE)*$CS$11,"-")</f>
        <v>2652</v>
      </c>
      <c r="S53" s="209">
        <f t="shared" si="20"/>
        <v>1277</v>
      </c>
      <c r="T53" s="208">
        <f>IFERROR(VLOOKUP($B53,NMBS_abonnementen!$G$7:$N$156,8,FALSE)*$CS$12,"-")</f>
        <v>2448</v>
      </c>
      <c r="U53" s="209">
        <f t="shared" si="21"/>
        <v>1073</v>
      </c>
      <c r="V53" s="210">
        <f>IFERROR(VLOOKUP($B53,NMBS_abonnementen!$G$7:$R$156,12,FALSE)*$CS$13,"-")</f>
        <v>2062</v>
      </c>
      <c r="W53" s="209">
        <f t="shared" si="22"/>
        <v>687</v>
      </c>
      <c r="X53" s="208">
        <f>IFERROR(VLOOKUP($B53,NMBS_abonnementen!$G$7:$K$156,5,FALSE)*$CS$18,"-")</f>
        <v>2460</v>
      </c>
      <c r="Y53" s="209">
        <f t="shared" si="23"/>
        <v>1085</v>
      </c>
      <c r="Z53" s="208">
        <f>IFERROR(VLOOKUP($B53,NMBS_abonnementen!$G$7:$O$156,9,FALSE)*$CS$19,"-")</f>
        <v>2244</v>
      </c>
      <c r="AA53" s="209">
        <f t="shared" si="24"/>
        <v>869</v>
      </c>
      <c r="AB53" s="210">
        <f>IFERROR(VLOOKUP($B53,NMBS_abonnementen!$G$7:$S$156,13,FALSE),"-")</f>
        <v>1938</v>
      </c>
      <c r="AC53" s="198">
        <f t="shared" si="17"/>
        <v>720</v>
      </c>
      <c r="AD53" s="198">
        <f t="shared" si="25"/>
        <v>50.399999999999977</v>
      </c>
      <c r="AE53" s="198">
        <f t="shared" si="26"/>
        <v>484</v>
      </c>
      <c r="AF53" s="198">
        <f t="shared" si="27"/>
        <v>-236</v>
      </c>
      <c r="AH53" s="198">
        <f t="shared" si="28"/>
        <v>669.6</v>
      </c>
      <c r="AI53" s="198">
        <f t="shared" si="29"/>
        <v>185.60000000000002</v>
      </c>
      <c r="AJ53" s="198">
        <f t="shared" si="30"/>
        <v>669.6</v>
      </c>
      <c r="AK53" s="198">
        <f t="shared" si="31"/>
        <v>0</v>
      </c>
      <c r="AL53" s="179"/>
      <c r="AM53" s="175"/>
      <c r="AN53" s="175"/>
      <c r="AX53" s="181"/>
      <c r="AY53" s="181"/>
      <c r="BA53" s="181">
        <v>1.2</v>
      </c>
      <c r="BN53" s="239">
        <v>5</v>
      </c>
      <c r="BO53" s="240">
        <f>BN53*$E$5</f>
        <v>225</v>
      </c>
      <c r="BP53" s="226">
        <v>1</v>
      </c>
      <c r="BQ53" s="226">
        <f>$BN$47</f>
        <v>583</v>
      </c>
      <c r="BR53" s="227">
        <f>BQ53*BP53</f>
        <v>583</v>
      </c>
      <c r="BT53" s="239">
        <v>5</v>
      </c>
      <c r="BU53" s="240">
        <f>BT53*$E$5</f>
        <v>225</v>
      </c>
      <c r="BV53" s="226">
        <v>1</v>
      </c>
      <c r="BW53" s="226">
        <f>$BT$47</f>
        <v>775</v>
      </c>
      <c r="BX53" s="227">
        <f>BW53*BV53</f>
        <v>775</v>
      </c>
    </row>
    <row r="54" spans="2:76" ht="12" customHeight="1">
      <c r="B54" s="110">
        <v>44</v>
      </c>
      <c r="C54" s="102">
        <f>NMBS_flexabo!$C48*$AR$15</f>
        <v>1548</v>
      </c>
      <c r="D54" s="102">
        <f>NMBS_flexabo!$D48*$AR$22</f>
        <v>1375</v>
      </c>
      <c r="E54" s="102">
        <f>NMBS_flexabo!$E48*VLOOKUP($B$5,$AS$43:$AY$43,7,FALSE)</f>
        <v>1475.5500000000002</v>
      </c>
      <c r="F54" s="102">
        <f>NMBS_flexabo!$F48*VLOOKUP($B$5,$AS$45:$AY$48,7,FALSE)</f>
        <v>1446</v>
      </c>
      <c r="G54" s="104">
        <f>IFERROR(VLOOKUP($B54,NMBS_abonnementen!$G$7:$H$156,2,FALSE),"-")*VLOOKUP($B$5,NMBS_halftijds!$P$4:$Q$44,2)</f>
        <v>1455.6672000000001</v>
      </c>
      <c r="H54" s="104">
        <f>IFERROR(VLOOKUP($B54,NMBS_abonnementen!$G$7:$I$156,3,FALSE)*$BB$22,"-")</f>
        <v>2112</v>
      </c>
      <c r="I54" s="104">
        <f>IFERROR(VLOOKUP($B54,NMBS_abonnementen!$G$7:$M$156,7,FALSE)*$BB$23,"-")</f>
        <v>1976</v>
      </c>
      <c r="J54" s="104" t="str">
        <f>IFERROR(VLOOKUP($B54,NMBS_abonnementen!$G$7:$Q$156,11,FALSE),"-")</f>
        <v xml:space="preserve"> 1763,00</v>
      </c>
      <c r="K54" s="104">
        <f>VLOOKUP($B54,NMBS_ticketten!$G$6:$I$155,3,FALSE)*$B$5*$E$5</f>
        <v>1814.4</v>
      </c>
      <c r="L54" s="101" t="str">
        <f t="shared" si="0"/>
        <v/>
      </c>
      <c r="M54" s="101">
        <f t="shared" si="1"/>
        <v>2203.2000000000003</v>
      </c>
      <c r="N54" s="103">
        <f t="shared" si="2"/>
        <v>669.6</v>
      </c>
      <c r="O54" s="174"/>
      <c r="P54" s="269">
        <f t="shared" si="18"/>
        <v>1375</v>
      </c>
      <c r="Q54" s="271">
        <f t="shared" si="19"/>
        <v>1375</v>
      </c>
      <c r="R54" s="208">
        <f>IFERROR(VLOOKUP($B54,NMBS_abonnementen!$G$7:$J$156,4,FALSE)*$CS$11,"-")</f>
        <v>2652</v>
      </c>
      <c r="S54" s="209">
        <f t="shared" si="20"/>
        <v>1277</v>
      </c>
      <c r="T54" s="208">
        <f>IFERROR(VLOOKUP($B54,NMBS_abonnementen!$G$7:$N$156,8,FALSE)*$CS$12,"-")</f>
        <v>2448</v>
      </c>
      <c r="U54" s="209">
        <f t="shared" si="21"/>
        <v>1073</v>
      </c>
      <c r="V54" s="210">
        <f>IFERROR(VLOOKUP($B54,NMBS_abonnementen!$G$7:$R$156,12,FALSE)*$CS$13,"-")</f>
        <v>2062</v>
      </c>
      <c r="W54" s="209">
        <f t="shared" si="22"/>
        <v>687</v>
      </c>
      <c r="X54" s="208">
        <f>IFERROR(VLOOKUP($B54,NMBS_abonnementen!$G$7:$K$156,5,FALSE)*$CS$18,"-")</f>
        <v>2460</v>
      </c>
      <c r="Y54" s="209">
        <f t="shared" si="23"/>
        <v>1085</v>
      </c>
      <c r="Z54" s="208">
        <f>IFERROR(VLOOKUP($B54,NMBS_abonnementen!$G$7:$O$156,9,FALSE)*$CS$19,"-")</f>
        <v>2244</v>
      </c>
      <c r="AA54" s="209">
        <f t="shared" si="24"/>
        <v>869</v>
      </c>
      <c r="AB54" s="210">
        <f>IFERROR(VLOOKUP($B54,NMBS_abonnementen!$G$7:$S$156,13,FALSE),"-")</f>
        <v>1938</v>
      </c>
      <c r="AC54" s="198">
        <f t="shared" si="17"/>
        <v>720</v>
      </c>
      <c r="AD54" s="198">
        <f t="shared" si="25"/>
        <v>50.399999999999977</v>
      </c>
      <c r="AE54" s="198">
        <f t="shared" si="26"/>
        <v>484</v>
      </c>
      <c r="AF54" s="198">
        <f t="shared" si="27"/>
        <v>-236</v>
      </c>
      <c r="AH54" s="198">
        <f t="shared" si="28"/>
        <v>669.6</v>
      </c>
      <c r="AI54" s="198">
        <f t="shared" si="29"/>
        <v>185.60000000000002</v>
      </c>
      <c r="AJ54" s="198">
        <f t="shared" si="30"/>
        <v>669.6</v>
      </c>
      <c r="AK54" s="198">
        <f t="shared" si="31"/>
        <v>0</v>
      </c>
      <c r="AL54" s="179"/>
      <c r="AM54" s="175"/>
      <c r="AN54" s="175"/>
      <c r="AX54" s="181"/>
      <c r="AY54" s="181"/>
      <c r="BA54" s="181">
        <v>1.3</v>
      </c>
      <c r="BN54" s="182"/>
      <c r="BO54" s="182"/>
    </row>
    <row r="55" spans="2:76" ht="12" customHeight="1">
      <c r="B55" s="110">
        <v>45</v>
      </c>
      <c r="C55" s="102">
        <f>NMBS_flexabo!$C49*$AR$15</f>
        <v>1548</v>
      </c>
      <c r="D55" s="102">
        <f>NMBS_flexabo!$D49*$AR$22</f>
        <v>1375</v>
      </c>
      <c r="E55" s="102">
        <f>NMBS_flexabo!$E49*VLOOKUP($B$5,$AS$43:$AY$43,7,FALSE)</f>
        <v>1475.5500000000002</v>
      </c>
      <c r="F55" s="102">
        <f>NMBS_flexabo!$F49*VLOOKUP($B$5,$AS$45:$AY$48,7,FALSE)</f>
        <v>1446</v>
      </c>
      <c r="G55" s="104">
        <f>IFERROR(VLOOKUP($B55,NMBS_abonnementen!$G$7:$H$156,2,FALSE),"-")*VLOOKUP($B$5,NMBS_halftijds!$P$4:$Q$44,2)</f>
        <v>1455.6672000000001</v>
      </c>
      <c r="H55" s="104">
        <f>IFERROR(VLOOKUP($B55,NMBS_abonnementen!$G$7:$I$156,3,FALSE)*$BB$22,"-")</f>
        <v>2112</v>
      </c>
      <c r="I55" s="104">
        <f>IFERROR(VLOOKUP($B55,NMBS_abonnementen!$G$7:$M$156,7,FALSE)*$BB$23,"-")</f>
        <v>1976</v>
      </c>
      <c r="J55" s="104" t="str">
        <f>IFERROR(VLOOKUP($B55,NMBS_abonnementen!$G$7:$Q$156,11,FALSE),"-")</f>
        <v xml:space="preserve"> 1763,00</v>
      </c>
      <c r="K55" s="104">
        <f>VLOOKUP($B55,NMBS_ticketten!$G$6:$I$155,3,FALSE)*$B$5*$E$5</f>
        <v>1814.4</v>
      </c>
      <c r="L55" s="101" t="str">
        <f t="shared" si="0"/>
        <v/>
      </c>
      <c r="M55" s="101">
        <f t="shared" si="1"/>
        <v>2203.2000000000003</v>
      </c>
      <c r="N55" s="103">
        <f t="shared" si="2"/>
        <v>669.6</v>
      </c>
      <c r="O55" s="174"/>
      <c r="P55" s="269">
        <f t="shared" si="18"/>
        <v>1375</v>
      </c>
      <c r="Q55" s="271">
        <f t="shared" si="19"/>
        <v>1375</v>
      </c>
      <c r="R55" s="208">
        <f>IFERROR(VLOOKUP($B55,NMBS_abonnementen!$G$7:$J$156,4,FALSE)*$CS$11,"-")</f>
        <v>2652</v>
      </c>
      <c r="S55" s="209">
        <f t="shared" si="20"/>
        <v>1277</v>
      </c>
      <c r="T55" s="208">
        <f>IFERROR(VLOOKUP($B55,NMBS_abonnementen!$G$7:$N$156,8,FALSE)*$CS$12,"-")</f>
        <v>2448</v>
      </c>
      <c r="U55" s="209">
        <f t="shared" si="21"/>
        <v>1073</v>
      </c>
      <c r="V55" s="210">
        <f>IFERROR(VLOOKUP($B55,NMBS_abonnementen!$G$7:$R$156,12,FALSE)*$CS$13,"-")</f>
        <v>2062</v>
      </c>
      <c r="W55" s="209">
        <f t="shared" si="22"/>
        <v>687</v>
      </c>
      <c r="X55" s="208">
        <f>IFERROR(VLOOKUP($B55,NMBS_abonnementen!$G$7:$K$156,5,FALSE)*$CS$18,"-")</f>
        <v>2460</v>
      </c>
      <c r="Y55" s="209">
        <f t="shared" si="23"/>
        <v>1085</v>
      </c>
      <c r="Z55" s="208">
        <f>IFERROR(VLOOKUP($B55,NMBS_abonnementen!$G$7:$O$156,9,FALSE)*$CS$19,"-")</f>
        <v>2244</v>
      </c>
      <c r="AA55" s="209">
        <f t="shared" si="24"/>
        <v>869</v>
      </c>
      <c r="AB55" s="210">
        <f>IFERROR(VLOOKUP($B55,NMBS_abonnementen!$G$7:$S$156,13,FALSE),"-")</f>
        <v>1938</v>
      </c>
      <c r="AC55" s="198">
        <f t="shared" si="17"/>
        <v>720</v>
      </c>
      <c r="AD55" s="198">
        <f t="shared" si="25"/>
        <v>50.399999999999977</v>
      </c>
      <c r="AE55" s="198">
        <f t="shared" si="26"/>
        <v>484</v>
      </c>
      <c r="AF55" s="198">
        <f t="shared" si="27"/>
        <v>-236</v>
      </c>
      <c r="AH55" s="198">
        <f t="shared" si="28"/>
        <v>669.6</v>
      </c>
      <c r="AI55" s="198">
        <f t="shared" si="29"/>
        <v>185.60000000000002</v>
      </c>
      <c r="AJ55" s="198">
        <f t="shared" si="30"/>
        <v>669.6</v>
      </c>
      <c r="AK55" s="198">
        <f t="shared" si="31"/>
        <v>0</v>
      </c>
      <c r="AL55" s="179"/>
      <c r="AM55" s="175"/>
      <c r="AN55" s="175"/>
      <c r="AX55" s="181"/>
      <c r="AY55" s="181"/>
      <c r="BA55" s="181">
        <v>1.4</v>
      </c>
      <c r="BN55" s="182"/>
      <c r="BO55" s="182"/>
    </row>
    <row r="56" spans="2:76" ht="12" customHeight="1">
      <c r="B56" s="110">
        <v>46</v>
      </c>
      <c r="C56" s="102">
        <f>NMBS_flexabo!$C50*$AR$15</f>
        <v>1620</v>
      </c>
      <c r="D56" s="102">
        <f>NMBS_flexabo!$D50*$AR$22</f>
        <v>1441</v>
      </c>
      <c r="E56" s="102">
        <f>NMBS_flexabo!$E50*VLOOKUP($B$5,$AS$43:$AY$43,7,FALSE)</f>
        <v>1544.4</v>
      </c>
      <c r="F56" s="102">
        <f>NMBS_flexabo!$F50*VLOOKUP($B$5,$AS$45:$AY$48,7,FALSE)</f>
        <v>1514</v>
      </c>
      <c r="G56" s="104">
        <f>IFERROR(VLOOKUP($B56,NMBS_abonnementen!$G$7:$H$156,2,FALSE),"-")*VLOOKUP($B$5,NMBS_halftijds!$P$4:$Q$44,2)</f>
        <v>1528.4505600000002</v>
      </c>
      <c r="H56" s="104">
        <f>IFERROR(VLOOKUP($B56,NMBS_abonnementen!$G$7:$I$156,3,FALSE)*$BB$22,"-")</f>
        <v>2220</v>
      </c>
      <c r="I56" s="104">
        <f>IFERROR(VLOOKUP($B56,NMBS_abonnementen!$G$7:$M$156,7,FALSE)*$BB$23,"-")</f>
        <v>2068</v>
      </c>
      <c r="J56" s="104" t="str">
        <f>IFERROR(VLOOKUP($B56,NMBS_abonnementen!$G$7:$Q$156,11,FALSE),"-")</f>
        <v xml:space="preserve"> 1846,00</v>
      </c>
      <c r="K56" s="104">
        <f>VLOOKUP($B56,NMBS_ticketten!$G$6:$I$155,3,FALSE)*$B$5*$E$5</f>
        <v>1922.3999999999999</v>
      </c>
      <c r="L56" s="101" t="str">
        <f t="shared" si="0"/>
        <v/>
      </c>
      <c r="M56" s="101">
        <f t="shared" si="1"/>
        <v>2203.2000000000003</v>
      </c>
      <c r="N56" s="103">
        <f t="shared" si="2"/>
        <v>669.6</v>
      </c>
      <c r="O56" s="174"/>
      <c r="P56" s="269">
        <f t="shared" si="18"/>
        <v>1441</v>
      </c>
      <c r="Q56" s="271">
        <f t="shared" si="19"/>
        <v>1441</v>
      </c>
      <c r="R56" s="208">
        <f>IFERROR(VLOOKUP($B56,NMBS_abonnementen!$G$7:$J$156,4,FALSE)*$CS$11,"-")</f>
        <v>2760</v>
      </c>
      <c r="S56" s="209">
        <f t="shared" si="20"/>
        <v>1319</v>
      </c>
      <c r="T56" s="208">
        <f>IFERROR(VLOOKUP($B56,NMBS_abonnementen!$G$7:$N$156,8,FALSE)*$CS$12,"-")</f>
        <v>2540</v>
      </c>
      <c r="U56" s="209">
        <f t="shared" si="21"/>
        <v>1099</v>
      </c>
      <c r="V56" s="210">
        <f>IFERROR(VLOOKUP($B56,NMBS_abonnementen!$G$7:$R$156,12,FALSE)*$CS$13,"-")</f>
        <v>2145</v>
      </c>
      <c r="W56" s="209">
        <f t="shared" si="22"/>
        <v>704</v>
      </c>
      <c r="X56" s="208">
        <f>IFERROR(VLOOKUP($B56,NMBS_abonnementen!$G$7:$K$156,5,FALSE)*$CS$18,"-")</f>
        <v>2568</v>
      </c>
      <c r="Y56" s="209">
        <f t="shared" si="23"/>
        <v>1127</v>
      </c>
      <c r="Z56" s="208">
        <f>IFERROR(VLOOKUP($B56,NMBS_abonnementen!$G$7:$O$156,9,FALSE)*$CS$19,"-")</f>
        <v>2336</v>
      </c>
      <c r="AA56" s="209">
        <f t="shared" si="24"/>
        <v>895</v>
      </c>
      <c r="AB56" s="210">
        <f>IFERROR(VLOOKUP($B56,NMBS_abonnementen!$G$7:$S$156,13,FALSE),"-")</f>
        <v>2021</v>
      </c>
      <c r="AC56" s="198">
        <f t="shared" si="17"/>
        <v>720</v>
      </c>
      <c r="AD56" s="198">
        <f t="shared" si="25"/>
        <v>50.399999999999977</v>
      </c>
      <c r="AE56" s="198">
        <f t="shared" si="26"/>
        <v>484</v>
      </c>
      <c r="AF56" s="198">
        <f t="shared" si="27"/>
        <v>-236</v>
      </c>
      <c r="AH56" s="198">
        <f t="shared" si="28"/>
        <v>669.6</v>
      </c>
      <c r="AI56" s="198">
        <f t="shared" si="29"/>
        <v>185.60000000000002</v>
      </c>
      <c r="AJ56" s="198">
        <f t="shared" si="30"/>
        <v>669.6</v>
      </c>
      <c r="AK56" s="198">
        <f t="shared" si="31"/>
        <v>0</v>
      </c>
      <c r="AL56" s="179"/>
      <c r="AM56" s="175"/>
      <c r="AN56" s="175"/>
      <c r="AX56" s="181"/>
      <c r="AY56" s="181"/>
      <c r="BA56" s="181">
        <v>1.5</v>
      </c>
      <c r="BN56" s="182"/>
      <c r="BO56" s="182"/>
    </row>
    <row r="57" spans="2:76" ht="12" customHeight="1">
      <c r="B57" s="110">
        <v>47</v>
      </c>
      <c r="C57" s="102">
        <f>NMBS_flexabo!$C51*$AR$15</f>
        <v>1620</v>
      </c>
      <c r="D57" s="102">
        <f>NMBS_flexabo!$D51*$AR$22</f>
        <v>1441</v>
      </c>
      <c r="E57" s="102">
        <f>NMBS_flexabo!$E51*VLOOKUP($B$5,$AS$43:$AY$43,7,FALSE)</f>
        <v>1544.4</v>
      </c>
      <c r="F57" s="102">
        <f>NMBS_flexabo!$F51*VLOOKUP($B$5,$AS$45:$AY$48,7,FALSE)</f>
        <v>1514</v>
      </c>
      <c r="G57" s="104">
        <f>IFERROR(VLOOKUP($B57,NMBS_abonnementen!$G$7:$H$156,2,FALSE),"-")*VLOOKUP($B$5,NMBS_halftijds!$P$4:$Q$44,2)</f>
        <v>1528.4505600000002</v>
      </c>
      <c r="H57" s="104">
        <f>IFERROR(VLOOKUP($B57,NMBS_abonnementen!$G$7:$I$156,3,FALSE)*$BB$22,"-")</f>
        <v>2220</v>
      </c>
      <c r="I57" s="104">
        <f>IFERROR(VLOOKUP($B57,NMBS_abonnementen!$G$7:$M$156,7,FALSE)*$BB$23,"-")</f>
        <v>2068</v>
      </c>
      <c r="J57" s="104" t="str">
        <f>IFERROR(VLOOKUP($B57,NMBS_abonnementen!$G$7:$Q$156,11,FALSE),"-")</f>
        <v xml:space="preserve"> 1846,00</v>
      </c>
      <c r="K57" s="104">
        <f>VLOOKUP($B57,NMBS_ticketten!$G$6:$I$155,3,FALSE)*$B$5*$E$5</f>
        <v>1922.3999999999999</v>
      </c>
      <c r="L57" s="101" t="str">
        <f t="shared" si="0"/>
        <v/>
      </c>
      <c r="M57" s="101">
        <f t="shared" si="1"/>
        <v>2203.2000000000003</v>
      </c>
      <c r="N57" s="103">
        <f t="shared" si="2"/>
        <v>669.6</v>
      </c>
      <c r="O57" s="174"/>
      <c r="P57" s="269">
        <f t="shared" si="18"/>
        <v>1441</v>
      </c>
      <c r="Q57" s="271">
        <f t="shared" si="19"/>
        <v>1441</v>
      </c>
      <c r="R57" s="208">
        <f>IFERROR(VLOOKUP($B57,NMBS_abonnementen!$G$7:$J$156,4,FALSE)*$CS$11,"-")</f>
        <v>2760</v>
      </c>
      <c r="S57" s="209">
        <f t="shared" si="20"/>
        <v>1319</v>
      </c>
      <c r="T57" s="208">
        <f>IFERROR(VLOOKUP($B57,NMBS_abonnementen!$G$7:$N$156,8,FALSE)*$CS$12,"-")</f>
        <v>2540</v>
      </c>
      <c r="U57" s="209">
        <f t="shared" si="21"/>
        <v>1099</v>
      </c>
      <c r="V57" s="210">
        <f>IFERROR(VLOOKUP($B57,NMBS_abonnementen!$G$7:$R$156,12,FALSE)*$CS$13,"-")</f>
        <v>2145</v>
      </c>
      <c r="W57" s="209">
        <f t="shared" si="22"/>
        <v>704</v>
      </c>
      <c r="X57" s="208">
        <f>IFERROR(VLOOKUP($B57,NMBS_abonnementen!$G$7:$K$156,5,FALSE)*$CS$18,"-")</f>
        <v>2568</v>
      </c>
      <c r="Y57" s="209">
        <f t="shared" si="23"/>
        <v>1127</v>
      </c>
      <c r="Z57" s="208">
        <f>IFERROR(VLOOKUP($B57,NMBS_abonnementen!$G$7:$O$156,9,FALSE)*$CS$19,"-")</f>
        <v>2336</v>
      </c>
      <c r="AA57" s="209">
        <f t="shared" si="24"/>
        <v>895</v>
      </c>
      <c r="AB57" s="210">
        <f>IFERROR(VLOOKUP($B57,NMBS_abonnementen!$G$7:$S$156,13,FALSE),"-")</f>
        <v>2021</v>
      </c>
      <c r="AC57" s="198">
        <f t="shared" si="17"/>
        <v>720</v>
      </c>
      <c r="AD57" s="198">
        <f t="shared" si="25"/>
        <v>50.399999999999977</v>
      </c>
      <c r="AE57" s="198">
        <f t="shared" si="26"/>
        <v>484</v>
      </c>
      <c r="AF57" s="198">
        <f t="shared" si="27"/>
        <v>-236</v>
      </c>
      <c r="AH57" s="198">
        <f t="shared" si="28"/>
        <v>669.6</v>
      </c>
      <c r="AI57" s="198">
        <f t="shared" si="29"/>
        <v>185.60000000000002</v>
      </c>
      <c r="AJ57" s="198">
        <f t="shared" si="30"/>
        <v>669.6</v>
      </c>
      <c r="AK57" s="198">
        <f t="shared" si="31"/>
        <v>0</v>
      </c>
      <c r="AL57" s="179"/>
      <c r="AM57" s="175"/>
      <c r="AN57" s="175"/>
      <c r="AX57" s="181"/>
      <c r="AY57" s="181"/>
      <c r="BA57" s="181">
        <v>1.6</v>
      </c>
      <c r="BN57" s="182"/>
      <c r="BO57" s="182"/>
    </row>
    <row r="58" spans="2:76" ht="12" customHeight="1">
      <c r="B58" s="110">
        <v>48</v>
      </c>
      <c r="C58" s="102">
        <f>NMBS_flexabo!$C52*$AR$15</f>
        <v>1620</v>
      </c>
      <c r="D58" s="102">
        <f>NMBS_flexabo!$D52*$AR$22</f>
        <v>1441</v>
      </c>
      <c r="E58" s="102">
        <f>NMBS_flexabo!$E52*VLOOKUP($B$5,$AS$43:$AY$43,7,FALSE)</f>
        <v>1544.4</v>
      </c>
      <c r="F58" s="102">
        <f>NMBS_flexabo!$F52*VLOOKUP($B$5,$AS$45:$AY$48,7,FALSE)</f>
        <v>1514</v>
      </c>
      <c r="G58" s="104">
        <f>IFERROR(VLOOKUP($B58,NMBS_abonnementen!$G$7:$H$156,2,FALSE),"-")*VLOOKUP($B$5,NMBS_halftijds!$P$4:$Q$44,2)</f>
        <v>1528.4505600000002</v>
      </c>
      <c r="H58" s="104">
        <f>IFERROR(VLOOKUP($B58,NMBS_abonnementen!$G$7:$I$156,3,FALSE)*$BB$22,"-")</f>
        <v>2220</v>
      </c>
      <c r="I58" s="104">
        <f>IFERROR(VLOOKUP($B58,NMBS_abonnementen!$G$7:$M$156,7,FALSE)*$BB$23,"-")</f>
        <v>2068</v>
      </c>
      <c r="J58" s="104" t="str">
        <f>IFERROR(VLOOKUP($B58,NMBS_abonnementen!$G$7:$Q$156,11,FALSE),"-")</f>
        <v xml:space="preserve"> 1846,00</v>
      </c>
      <c r="K58" s="104">
        <f>VLOOKUP($B58,NMBS_ticketten!$G$6:$I$155,3,FALSE)*$B$5*$E$5</f>
        <v>1922.3999999999999</v>
      </c>
      <c r="L58" s="101" t="str">
        <f t="shared" si="0"/>
        <v/>
      </c>
      <c r="M58" s="101">
        <f t="shared" si="1"/>
        <v>2203.2000000000003</v>
      </c>
      <c r="N58" s="103">
        <f t="shared" si="2"/>
        <v>669.6</v>
      </c>
      <c r="O58" s="174"/>
      <c r="P58" s="269">
        <f t="shared" si="18"/>
        <v>1441</v>
      </c>
      <c r="Q58" s="271">
        <f t="shared" si="19"/>
        <v>1441</v>
      </c>
      <c r="R58" s="208">
        <f>IFERROR(VLOOKUP($B58,NMBS_abonnementen!$G$7:$J$156,4,FALSE)*$CS$11,"-")</f>
        <v>2760</v>
      </c>
      <c r="S58" s="209">
        <f t="shared" si="20"/>
        <v>1319</v>
      </c>
      <c r="T58" s="208">
        <f>IFERROR(VLOOKUP($B58,NMBS_abonnementen!$G$7:$N$156,8,FALSE)*$CS$12,"-")</f>
        <v>2540</v>
      </c>
      <c r="U58" s="209">
        <f t="shared" si="21"/>
        <v>1099</v>
      </c>
      <c r="V58" s="210">
        <f>IFERROR(VLOOKUP($B58,NMBS_abonnementen!$G$7:$R$156,12,FALSE)*$CS$13,"-")</f>
        <v>2145</v>
      </c>
      <c r="W58" s="209">
        <f t="shared" si="22"/>
        <v>704</v>
      </c>
      <c r="X58" s="208">
        <f>IFERROR(VLOOKUP($B58,NMBS_abonnementen!$G$7:$K$156,5,FALSE)*$CS$18,"-")</f>
        <v>2568</v>
      </c>
      <c r="Y58" s="209">
        <f t="shared" si="23"/>
        <v>1127</v>
      </c>
      <c r="Z58" s="208">
        <f>IFERROR(VLOOKUP($B58,NMBS_abonnementen!$G$7:$O$156,9,FALSE)*$CS$19,"-")</f>
        <v>2336</v>
      </c>
      <c r="AA58" s="209">
        <f t="shared" si="24"/>
        <v>895</v>
      </c>
      <c r="AB58" s="210">
        <f>IFERROR(VLOOKUP($B58,NMBS_abonnementen!$G$7:$S$156,13,FALSE),"-")</f>
        <v>2021</v>
      </c>
      <c r="AC58" s="198">
        <f t="shared" si="17"/>
        <v>720</v>
      </c>
      <c r="AD58" s="198">
        <f t="shared" si="25"/>
        <v>50.399999999999977</v>
      </c>
      <c r="AE58" s="198">
        <f t="shared" si="26"/>
        <v>484</v>
      </c>
      <c r="AF58" s="198">
        <f t="shared" si="27"/>
        <v>-236</v>
      </c>
      <c r="AH58" s="198">
        <f t="shared" si="28"/>
        <v>669.6</v>
      </c>
      <c r="AI58" s="198">
        <f t="shared" si="29"/>
        <v>185.60000000000002</v>
      </c>
      <c r="AJ58" s="198">
        <f t="shared" si="30"/>
        <v>669.6</v>
      </c>
      <c r="AK58" s="198">
        <f t="shared" si="31"/>
        <v>0</v>
      </c>
      <c r="AL58" s="179"/>
      <c r="AM58" s="175"/>
      <c r="AN58" s="175"/>
      <c r="AX58" s="181"/>
      <c r="AY58" s="181"/>
      <c r="BA58" s="181">
        <v>1.7</v>
      </c>
      <c r="BN58" s="182"/>
      <c r="BO58" s="182"/>
    </row>
    <row r="59" spans="2:76" ht="12" customHeight="1">
      <c r="B59" s="110">
        <v>49</v>
      </c>
      <c r="C59" s="102">
        <f>NMBS_flexabo!$C53*$AR$15</f>
        <v>1710</v>
      </c>
      <c r="D59" s="102">
        <f>NMBS_flexabo!$D53*$AR$22</f>
        <v>1507</v>
      </c>
      <c r="E59" s="102">
        <f>NMBS_flexabo!$E53*VLOOKUP($B$5,$AS$43:$AY$43,7,FALSE)</f>
        <v>1614.6000000000001</v>
      </c>
      <c r="F59" s="102">
        <f>NMBS_flexabo!$F53*VLOOKUP($B$5,$AS$45:$AY$48,7,FALSE)</f>
        <v>1582</v>
      </c>
      <c r="G59" s="104">
        <f>IFERROR(VLOOKUP($B59,NMBS_abonnementen!$G$7:$H$156,2,FALSE),"-")*VLOOKUP($B$5,NMBS_halftijds!$P$4:$Q$44,2)</f>
        <v>1601.2339200000001</v>
      </c>
      <c r="H59" s="104">
        <f>IFERROR(VLOOKUP($B59,NMBS_abonnementen!$G$7:$I$156,3,FALSE)*$BB$22,"-")</f>
        <v>2316</v>
      </c>
      <c r="I59" s="104">
        <f>IFERROR(VLOOKUP($B59,NMBS_abonnementen!$G$7:$M$156,7,FALSE)*$BB$23,"-")</f>
        <v>2160</v>
      </c>
      <c r="J59" s="104" t="str">
        <f>IFERROR(VLOOKUP($B59,NMBS_abonnementen!$G$7:$Q$156,11,FALSE),"-")</f>
        <v xml:space="preserve"> 1929,00</v>
      </c>
      <c r="K59" s="104">
        <f>VLOOKUP($B59,NMBS_ticketten!$G$6:$I$155,3,FALSE)*$B$5*$E$5</f>
        <v>2008.8</v>
      </c>
      <c r="L59" s="101" t="str">
        <f t="shared" si="0"/>
        <v/>
      </c>
      <c r="M59" s="101">
        <f t="shared" si="1"/>
        <v>2203.2000000000003</v>
      </c>
      <c r="N59" s="103">
        <f t="shared" si="2"/>
        <v>669.6</v>
      </c>
      <c r="O59" s="174"/>
      <c r="P59" s="269">
        <f t="shared" si="18"/>
        <v>1507</v>
      </c>
      <c r="Q59" s="271">
        <f t="shared" si="19"/>
        <v>1507</v>
      </c>
      <c r="R59" s="208">
        <f>IFERROR(VLOOKUP($B59,NMBS_abonnementen!$G$7:$J$156,4,FALSE)*$CS$11,"-")</f>
        <v>2856</v>
      </c>
      <c r="S59" s="209">
        <f t="shared" si="20"/>
        <v>1349</v>
      </c>
      <c r="T59" s="208">
        <f>IFERROR(VLOOKUP($B59,NMBS_abonnementen!$G$7:$N$156,8,FALSE)*$CS$12,"-")</f>
        <v>2632</v>
      </c>
      <c r="U59" s="209">
        <f t="shared" si="21"/>
        <v>1125</v>
      </c>
      <c r="V59" s="210">
        <f>IFERROR(VLOOKUP($B59,NMBS_abonnementen!$G$7:$R$156,12,FALSE)*$CS$13,"-")</f>
        <v>2228</v>
      </c>
      <c r="W59" s="209">
        <f t="shared" si="22"/>
        <v>721</v>
      </c>
      <c r="X59" s="208">
        <f>IFERROR(VLOOKUP($B59,NMBS_abonnementen!$G$7:$K$156,5,FALSE)*$CS$18,"-")</f>
        <v>2664</v>
      </c>
      <c r="Y59" s="209">
        <f t="shared" si="23"/>
        <v>1157</v>
      </c>
      <c r="Z59" s="208">
        <f>IFERROR(VLOOKUP($B59,NMBS_abonnementen!$G$7:$O$156,9,FALSE)*$CS$19,"-")</f>
        <v>2428</v>
      </c>
      <c r="AA59" s="209">
        <f t="shared" si="24"/>
        <v>921</v>
      </c>
      <c r="AB59" s="210">
        <f>IFERROR(VLOOKUP($B59,NMBS_abonnementen!$G$7:$S$156,13,FALSE),"-")</f>
        <v>2104</v>
      </c>
      <c r="AC59" s="198">
        <f t="shared" si="17"/>
        <v>720</v>
      </c>
      <c r="AD59" s="198">
        <f t="shared" si="25"/>
        <v>50.399999999999977</v>
      </c>
      <c r="AE59" s="198">
        <f t="shared" si="26"/>
        <v>484</v>
      </c>
      <c r="AF59" s="198">
        <f t="shared" si="27"/>
        <v>-236</v>
      </c>
      <c r="AH59" s="198">
        <f t="shared" si="28"/>
        <v>669.6</v>
      </c>
      <c r="AI59" s="198">
        <f t="shared" si="29"/>
        <v>185.60000000000002</v>
      </c>
      <c r="AJ59" s="198">
        <f t="shared" si="30"/>
        <v>669.6</v>
      </c>
      <c r="AK59" s="198">
        <f t="shared" si="31"/>
        <v>0</v>
      </c>
      <c r="AL59" s="179"/>
      <c r="AM59" s="175"/>
      <c r="AN59" s="175"/>
      <c r="AX59" s="181"/>
      <c r="AY59" s="181"/>
      <c r="BA59" s="181">
        <v>1.8</v>
      </c>
      <c r="BN59" s="182"/>
      <c r="BO59" s="182"/>
    </row>
    <row r="60" spans="2:76" ht="12" customHeight="1">
      <c r="B60" s="110">
        <v>50</v>
      </c>
      <c r="C60" s="102">
        <f>NMBS_flexabo!$C54*$AR$15</f>
        <v>1710</v>
      </c>
      <c r="D60" s="102">
        <f>NMBS_flexabo!$D54*$AR$22</f>
        <v>1507</v>
      </c>
      <c r="E60" s="102">
        <f>NMBS_flexabo!$E54*VLOOKUP($B$5,$AS$43:$AY$43,7,FALSE)</f>
        <v>1614.6000000000001</v>
      </c>
      <c r="F60" s="102">
        <f>NMBS_flexabo!$F54*VLOOKUP($B$5,$AS$45:$AY$48,7,FALSE)</f>
        <v>1582</v>
      </c>
      <c r="G60" s="104">
        <f>IFERROR(VLOOKUP($B60,NMBS_abonnementen!$G$7:$H$156,2,FALSE),"-")*VLOOKUP($B$5,NMBS_halftijds!$P$4:$Q$44,2)</f>
        <v>1601.2339200000001</v>
      </c>
      <c r="H60" s="104">
        <f>IFERROR(VLOOKUP($B60,NMBS_abonnementen!$G$7:$I$156,3,FALSE)*$BB$22,"-")</f>
        <v>2316</v>
      </c>
      <c r="I60" s="104">
        <f>IFERROR(VLOOKUP($B60,NMBS_abonnementen!$G$7:$M$156,7,FALSE)*$BB$23,"-")</f>
        <v>2160</v>
      </c>
      <c r="J60" s="104" t="str">
        <f>IFERROR(VLOOKUP($B60,NMBS_abonnementen!$G$7:$Q$156,11,FALSE),"-")</f>
        <v xml:space="preserve"> 1929,00</v>
      </c>
      <c r="K60" s="104">
        <f>VLOOKUP($B60,NMBS_ticketten!$G$6:$I$155,3,FALSE)*$B$5*$E$5</f>
        <v>2008.8</v>
      </c>
      <c r="L60" s="101" t="str">
        <f t="shared" si="0"/>
        <v/>
      </c>
      <c r="M60" s="101">
        <f t="shared" si="1"/>
        <v>2203.2000000000003</v>
      </c>
      <c r="N60" s="103">
        <f t="shared" si="2"/>
        <v>669.6</v>
      </c>
      <c r="O60" s="174"/>
      <c r="P60" s="269">
        <f t="shared" si="18"/>
        <v>1507</v>
      </c>
      <c r="Q60" s="271">
        <f t="shared" si="19"/>
        <v>1507</v>
      </c>
      <c r="R60" s="208">
        <f>IFERROR(VLOOKUP($B60,NMBS_abonnementen!$G$7:$J$156,4,FALSE)*$CS$11,"-")</f>
        <v>2856</v>
      </c>
      <c r="S60" s="209">
        <f t="shared" si="20"/>
        <v>1349</v>
      </c>
      <c r="T60" s="208">
        <f>IFERROR(VLOOKUP($B60,NMBS_abonnementen!$G$7:$N$156,8,FALSE)*$CS$12,"-")</f>
        <v>2632</v>
      </c>
      <c r="U60" s="209">
        <f t="shared" si="21"/>
        <v>1125</v>
      </c>
      <c r="V60" s="210">
        <f>IFERROR(VLOOKUP($B60,NMBS_abonnementen!$G$7:$R$156,12,FALSE)*$CS$13,"-")</f>
        <v>2228</v>
      </c>
      <c r="W60" s="209">
        <f t="shared" si="22"/>
        <v>721</v>
      </c>
      <c r="X60" s="208">
        <f>IFERROR(VLOOKUP($B60,NMBS_abonnementen!$G$7:$K$156,5,FALSE)*$CS$18,"-")</f>
        <v>2664</v>
      </c>
      <c r="Y60" s="209">
        <f t="shared" si="23"/>
        <v>1157</v>
      </c>
      <c r="Z60" s="208">
        <f>IFERROR(VLOOKUP($B60,NMBS_abonnementen!$G$7:$O$156,9,FALSE)*$CS$19,"-")</f>
        <v>2428</v>
      </c>
      <c r="AA60" s="209">
        <f t="shared" si="24"/>
        <v>921</v>
      </c>
      <c r="AB60" s="210">
        <f>IFERROR(VLOOKUP($B60,NMBS_abonnementen!$G$7:$S$156,13,FALSE),"-")</f>
        <v>2104</v>
      </c>
      <c r="AC60" s="198">
        <f t="shared" si="17"/>
        <v>720</v>
      </c>
      <c r="AD60" s="198">
        <f t="shared" si="25"/>
        <v>50.399999999999977</v>
      </c>
      <c r="AE60" s="198">
        <f t="shared" si="26"/>
        <v>484</v>
      </c>
      <c r="AF60" s="198">
        <f t="shared" si="27"/>
        <v>-236</v>
      </c>
      <c r="AH60" s="198">
        <f t="shared" si="28"/>
        <v>669.6</v>
      </c>
      <c r="AI60" s="198">
        <f t="shared" si="29"/>
        <v>185.60000000000002</v>
      </c>
      <c r="AJ60" s="198">
        <f t="shared" si="30"/>
        <v>669.6</v>
      </c>
      <c r="AK60" s="198">
        <f t="shared" si="31"/>
        <v>0</v>
      </c>
      <c r="AL60" s="179"/>
      <c r="AM60" s="175"/>
      <c r="AN60" s="175"/>
      <c r="AX60" s="181"/>
      <c r="AY60" s="181"/>
      <c r="BA60" s="181">
        <v>1.9</v>
      </c>
      <c r="BN60" s="182"/>
      <c r="BO60" s="182"/>
    </row>
    <row r="61" spans="2:76" ht="12" customHeight="1">
      <c r="B61" s="110">
        <v>51</v>
      </c>
      <c r="C61" s="102">
        <f>NMBS_flexabo!$C55*$AR$15</f>
        <v>1710</v>
      </c>
      <c r="D61" s="102">
        <f>NMBS_flexabo!$D55*$AR$22</f>
        <v>1507</v>
      </c>
      <c r="E61" s="102">
        <f>NMBS_flexabo!$E55*VLOOKUP($B$5,$AS$43:$AY$43,7,FALSE)</f>
        <v>1614.6000000000001</v>
      </c>
      <c r="F61" s="102">
        <f>NMBS_flexabo!$F55*VLOOKUP($B$5,$AS$45:$AY$48,7,FALSE)</f>
        <v>1582</v>
      </c>
      <c r="G61" s="104">
        <f>IFERROR(VLOOKUP($B61,NMBS_abonnementen!$G$7:$H$156,2,FALSE),"-")*VLOOKUP($B$5,NMBS_halftijds!$P$4:$Q$44,2)</f>
        <v>1601.2339200000001</v>
      </c>
      <c r="H61" s="104">
        <f>IFERROR(VLOOKUP($B61,NMBS_abonnementen!$G$7:$I$156,3,FALSE)*$BB$22,"-")</f>
        <v>2316</v>
      </c>
      <c r="I61" s="104">
        <f>IFERROR(VLOOKUP($B61,NMBS_abonnementen!$G$7:$M$156,7,FALSE)*$BB$23,"-")</f>
        <v>2160</v>
      </c>
      <c r="J61" s="104" t="str">
        <f>IFERROR(VLOOKUP($B61,NMBS_abonnementen!$G$7:$Q$156,11,FALSE),"-")</f>
        <v xml:space="preserve"> 1929,00</v>
      </c>
      <c r="K61" s="104">
        <f>VLOOKUP($B61,NMBS_ticketten!$G$6:$I$155,3,FALSE)*$B$5*$E$5</f>
        <v>2008.8</v>
      </c>
      <c r="L61" s="101" t="str">
        <f t="shared" si="0"/>
        <v/>
      </c>
      <c r="M61" s="101">
        <f t="shared" si="1"/>
        <v>2203.2000000000003</v>
      </c>
      <c r="N61" s="103">
        <f t="shared" si="2"/>
        <v>669.6</v>
      </c>
      <c r="O61" s="174"/>
      <c r="P61" s="269">
        <f t="shared" si="18"/>
        <v>1507</v>
      </c>
      <c r="Q61" s="271">
        <f t="shared" si="19"/>
        <v>1507</v>
      </c>
      <c r="R61" s="208">
        <f>IFERROR(VLOOKUP($B61,NMBS_abonnementen!$G$7:$J$156,4,FALSE)*$CS$11,"-")</f>
        <v>2856</v>
      </c>
      <c r="S61" s="209">
        <f t="shared" si="20"/>
        <v>1349</v>
      </c>
      <c r="T61" s="208">
        <f>IFERROR(VLOOKUP($B61,NMBS_abonnementen!$G$7:$N$156,8,FALSE)*$CS$12,"-")</f>
        <v>2632</v>
      </c>
      <c r="U61" s="209">
        <f t="shared" si="21"/>
        <v>1125</v>
      </c>
      <c r="V61" s="210">
        <f>IFERROR(VLOOKUP($B61,NMBS_abonnementen!$G$7:$R$156,12,FALSE)*$CS$13,"-")</f>
        <v>2228</v>
      </c>
      <c r="W61" s="209">
        <f t="shared" si="22"/>
        <v>721</v>
      </c>
      <c r="X61" s="208">
        <f>IFERROR(VLOOKUP($B61,NMBS_abonnementen!$G$7:$K$156,5,FALSE)*$CS$18,"-")</f>
        <v>2664</v>
      </c>
      <c r="Y61" s="209">
        <f t="shared" si="23"/>
        <v>1157</v>
      </c>
      <c r="Z61" s="208">
        <f>IFERROR(VLOOKUP($B61,NMBS_abonnementen!$G$7:$O$156,9,FALSE)*$CS$19,"-")</f>
        <v>2428</v>
      </c>
      <c r="AA61" s="209">
        <f t="shared" si="24"/>
        <v>921</v>
      </c>
      <c r="AB61" s="210">
        <f>IFERROR(VLOOKUP($B61,NMBS_abonnementen!$G$7:$S$156,13,FALSE),"-")</f>
        <v>2104</v>
      </c>
      <c r="AC61" s="198">
        <f t="shared" si="17"/>
        <v>720</v>
      </c>
      <c r="AD61" s="198">
        <f t="shared" si="25"/>
        <v>50.399999999999977</v>
      </c>
      <c r="AE61" s="198">
        <f t="shared" si="26"/>
        <v>484</v>
      </c>
      <c r="AF61" s="198">
        <f t="shared" si="27"/>
        <v>-236</v>
      </c>
      <c r="AH61" s="198">
        <f t="shared" si="28"/>
        <v>669.6</v>
      </c>
      <c r="AI61" s="198">
        <f t="shared" si="29"/>
        <v>185.60000000000002</v>
      </c>
      <c r="AJ61" s="198">
        <f t="shared" si="30"/>
        <v>669.6</v>
      </c>
      <c r="AK61" s="198">
        <f t="shared" si="31"/>
        <v>0</v>
      </c>
      <c r="AL61" s="179"/>
      <c r="AM61" s="175"/>
      <c r="AN61" s="175"/>
      <c r="AX61" s="181"/>
      <c r="AY61" s="181"/>
      <c r="BA61" s="181">
        <v>2</v>
      </c>
      <c r="BN61" s="182"/>
      <c r="BO61" s="182"/>
    </row>
    <row r="62" spans="2:76" ht="12" customHeight="1">
      <c r="B62" s="110">
        <v>52</v>
      </c>
      <c r="C62" s="102">
        <f>NMBS_flexabo!$C56*$AR$15</f>
        <v>1746</v>
      </c>
      <c r="D62" s="102">
        <f>NMBS_flexabo!$D56*$AR$22</f>
        <v>1551</v>
      </c>
      <c r="E62" s="102">
        <f>NMBS_flexabo!$E56*VLOOKUP($B$5,$AS$43:$AY$43,7,FALSE)</f>
        <v>1664.5500000000002</v>
      </c>
      <c r="F62" s="102">
        <f>NMBS_flexabo!$F56*VLOOKUP($B$5,$AS$45:$AY$48,7,FALSE)</f>
        <v>1630</v>
      </c>
      <c r="G62" s="104">
        <f>IFERROR(VLOOKUP($B62,NMBS_abonnementen!$G$7:$H$156,2,FALSE),"-")*VLOOKUP($B$5,NMBS_halftijds!$P$4:$Q$44,2)</f>
        <v>1649.7561600000001</v>
      </c>
      <c r="H62" s="104">
        <f>IFERROR(VLOOKUP($B62,NMBS_abonnementen!$G$7:$I$156,3,FALSE)*$BB$22,"-")</f>
        <v>2388</v>
      </c>
      <c r="I62" s="104">
        <f>IFERROR(VLOOKUP($B62,NMBS_abonnementen!$G$7:$M$156,7,FALSE)*$BB$23,"-")</f>
        <v>2228</v>
      </c>
      <c r="J62" s="104" t="str">
        <f>IFERROR(VLOOKUP($B62,NMBS_abonnementen!$G$7:$Q$156,11,FALSE),"-")</f>
        <v xml:space="preserve"> 1988,00</v>
      </c>
      <c r="K62" s="104">
        <f>VLOOKUP($B62,NMBS_ticketten!$G$6:$I$155,3,FALSE)*$B$5*$E$5</f>
        <v>2116.8000000000002</v>
      </c>
      <c r="L62" s="101" t="str">
        <f t="shared" si="0"/>
        <v/>
      </c>
      <c r="M62" s="101">
        <f t="shared" si="1"/>
        <v>2203.2000000000003</v>
      </c>
      <c r="N62" s="103">
        <f t="shared" si="2"/>
        <v>669.6</v>
      </c>
      <c r="O62" s="174"/>
      <c r="P62" s="269">
        <f t="shared" si="18"/>
        <v>1551</v>
      </c>
      <c r="Q62" s="271">
        <f t="shared" si="19"/>
        <v>1551</v>
      </c>
      <c r="R62" s="208">
        <f>IFERROR(VLOOKUP($B62,NMBS_abonnementen!$G$7:$J$156,4,FALSE)*$CS$11,"-")</f>
        <v>2928</v>
      </c>
      <c r="S62" s="209">
        <f t="shared" si="20"/>
        <v>1377</v>
      </c>
      <c r="T62" s="208">
        <f>IFERROR(VLOOKUP($B62,NMBS_abonnementen!$G$7:$N$156,8,FALSE)*$CS$12,"-")</f>
        <v>2700</v>
      </c>
      <c r="U62" s="209">
        <f t="shared" si="21"/>
        <v>1149</v>
      </c>
      <c r="V62" s="210">
        <f>IFERROR(VLOOKUP($B62,NMBS_abonnementen!$G$7:$R$156,12,FALSE)*$CS$13,"-")</f>
        <v>2287</v>
      </c>
      <c r="W62" s="209">
        <f t="shared" si="22"/>
        <v>736</v>
      </c>
      <c r="X62" s="208">
        <f>IFERROR(VLOOKUP($B62,NMBS_abonnementen!$G$7:$K$156,5,FALSE)*$CS$18,"-")</f>
        <v>2736</v>
      </c>
      <c r="Y62" s="209">
        <f t="shared" si="23"/>
        <v>1185</v>
      </c>
      <c r="Z62" s="208">
        <f>IFERROR(VLOOKUP($B62,NMBS_abonnementen!$G$7:$O$156,9,FALSE)*$CS$19,"-")</f>
        <v>2496</v>
      </c>
      <c r="AA62" s="209">
        <f t="shared" si="24"/>
        <v>945</v>
      </c>
      <c r="AB62" s="210">
        <f>IFERROR(VLOOKUP($B62,NMBS_abonnementen!$G$7:$S$156,13,FALSE),"-")</f>
        <v>2163</v>
      </c>
      <c r="AC62" s="198">
        <f t="shared" si="17"/>
        <v>720</v>
      </c>
      <c r="AD62" s="198">
        <f t="shared" si="25"/>
        <v>50.399999999999977</v>
      </c>
      <c r="AE62" s="198">
        <f t="shared" si="26"/>
        <v>484</v>
      </c>
      <c r="AF62" s="198">
        <f t="shared" si="27"/>
        <v>-236</v>
      </c>
      <c r="AH62" s="198">
        <f t="shared" si="28"/>
        <v>669.6</v>
      </c>
      <c r="AI62" s="198">
        <f t="shared" si="29"/>
        <v>185.60000000000002</v>
      </c>
      <c r="AJ62" s="198">
        <f t="shared" si="30"/>
        <v>669.6</v>
      </c>
      <c r="AK62" s="198">
        <f t="shared" si="31"/>
        <v>0</v>
      </c>
      <c r="AL62" s="179"/>
      <c r="AM62" s="175"/>
      <c r="AN62" s="175"/>
      <c r="AX62" s="181"/>
      <c r="AY62" s="181"/>
      <c r="BA62" s="181">
        <v>2.1</v>
      </c>
      <c r="BN62" s="182"/>
      <c r="BO62" s="182"/>
    </row>
    <row r="63" spans="2:76" ht="12" customHeight="1">
      <c r="B63" s="110">
        <v>53</v>
      </c>
      <c r="C63" s="102">
        <f>NMBS_flexabo!$C57*$AR$15</f>
        <v>1746</v>
      </c>
      <c r="D63" s="102">
        <f>NMBS_flexabo!$D57*$AR$22</f>
        <v>1551</v>
      </c>
      <c r="E63" s="102">
        <f>NMBS_flexabo!$E57*VLOOKUP($B$5,$AS$43:$AY$43,7,FALSE)</f>
        <v>1664.5500000000002</v>
      </c>
      <c r="F63" s="102">
        <f>NMBS_flexabo!$F57*VLOOKUP($B$5,$AS$45:$AY$48,7,FALSE)</f>
        <v>1630</v>
      </c>
      <c r="G63" s="104">
        <f>IFERROR(VLOOKUP($B63,NMBS_abonnementen!$G$7:$H$156,2,FALSE),"-")*VLOOKUP($B$5,NMBS_halftijds!$P$4:$Q$44,2)</f>
        <v>1649.7561600000001</v>
      </c>
      <c r="H63" s="104">
        <f>IFERROR(VLOOKUP($B63,NMBS_abonnementen!$G$7:$I$156,3,FALSE)*$BB$22,"-")</f>
        <v>2388</v>
      </c>
      <c r="I63" s="104">
        <f>IFERROR(VLOOKUP($B63,NMBS_abonnementen!$G$7:$M$156,7,FALSE)*$BB$23,"-")</f>
        <v>2228</v>
      </c>
      <c r="J63" s="104" t="str">
        <f>IFERROR(VLOOKUP($B63,NMBS_abonnementen!$G$7:$Q$156,11,FALSE),"-")</f>
        <v xml:space="preserve"> 1988,00</v>
      </c>
      <c r="K63" s="104">
        <f>VLOOKUP($B63,NMBS_ticketten!$G$6:$I$155,3,FALSE)*$B$5*$E$5</f>
        <v>2116.8000000000002</v>
      </c>
      <c r="L63" s="101" t="str">
        <f t="shared" si="0"/>
        <v/>
      </c>
      <c r="M63" s="101">
        <f t="shared" si="1"/>
        <v>2203.2000000000003</v>
      </c>
      <c r="N63" s="103">
        <f t="shared" si="2"/>
        <v>669.6</v>
      </c>
      <c r="O63" s="174"/>
      <c r="P63" s="269">
        <f t="shared" si="18"/>
        <v>1551</v>
      </c>
      <c r="Q63" s="271">
        <f t="shared" si="19"/>
        <v>1551</v>
      </c>
      <c r="R63" s="208">
        <f>IFERROR(VLOOKUP($B63,NMBS_abonnementen!$G$7:$J$156,4,FALSE)*$CS$11,"-")</f>
        <v>2928</v>
      </c>
      <c r="S63" s="209">
        <f t="shared" si="20"/>
        <v>1377</v>
      </c>
      <c r="T63" s="208">
        <f>IFERROR(VLOOKUP($B63,NMBS_abonnementen!$G$7:$N$156,8,FALSE)*$CS$12,"-")</f>
        <v>2700</v>
      </c>
      <c r="U63" s="209">
        <f t="shared" si="21"/>
        <v>1149</v>
      </c>
      <c r="V63" s="210">
        <f>IFERROR(VLOOKUP($B63,NMBS_abonnementen!$G$7:$R$156,12,FALSE)*$CS$13,"-")</f>
        <v>2287</v>
      </c>
      <c r="W63" s="209">
        <f t="shared" si="22"/>
        <v>736</v>
      </c>
      <c r="X63" s="208">
        <f>IFERROR(VLOOKUP($B63,NMBS_abonnementen!$G$7:$K$156,5,FALSE)*$CS$18,"-")</f>
        <v>2736</v>
      </c>
      <c r="Y63" s="209">
        <f t="shared" si="23"/>
        <v>1185</v>
      </c>
      <c r="Z63" s="208">
        <f>IFERROR(VLOOKUP($B63,NMBS_abonnementen!$G$7:$O$156,9,FALSE)*$CS$19,"-")</f>
        <v>2496</v>
      </c>
      <c r="AA63" s="209">
        <f t="shared" si="24"/>
        <v>945</v>
      </c>
      <c r="AB63" s="210">
        <f>IFERROR(VLOOKUP($B63,NMBS_abonnementen!$G$7:$S$156,13,FALSE),"-")</f>
        <v>2163</v>
      </c>
      <c r="AC63" s="198">
        <f t="shared" si="17"/>
        <v>720</v>
      </c>
      <c r="AD63" s="198">
        <f t="shared" si="25"/>
        <v>50.399999999999977</v>
      </c>
      <c r="AE63" s="198">
        <f t="shared" si="26"/>
        <v>484</v>
      </c>
      <c r="AF63" s="198">
        <f t="shared" si="27"/>
        <v>-236</v>
      </c>
      <c r="AH63" s="198">
        <f t="shared" si="28"/>
        <v>669.6</v>
      </c>
      <c r="AI63" s="198">
        <f t="shared" si="29"/>
        <v>185.60000000000002</v>
      </c>
      <c r="AJ63" s="198">
        <f t="shared" si="30"/>
        <v>669.6</v>
      </c>
      <c r="AK63" s="198">
        <f t="shared" si="31"/>
        <v>0</v>
      </c>
      <c r="AL63" s="179"/>
      <c r="AM63" s="175"/>
      <c r="AN63" s="175"/>
      <c r="AX63" s="181"/>
      <c r="AY63" s="181"/>
      <c r="BA63" s="181">
        <v>2.2000000000000002</v>
      </c>
      <c r="BN63" s="182"/>
      <c r="BO63" s="182"/>
    </row>
    <row r="64" spans="2:76" ht="12" customHeight="1">
      <c r="B64" s="110">
        <v>54</v>
      </c>
      <c r="C64" s="102">
        <f>NMBS_flexabo!$C58*$AR$15</f>
        <v>1746</v>
      </c>
      <c r="D64" s="102">
        <f>NMBS_flexabo!$D58*$AR$22</f>
        <v>1551</v>
      </c>
      <c r="E64" s="102">
        <f>NMBS_flexabo!$E58*VLOOKUP($B$5,$AS$43:$AY$43,7,FALSE)</f>
        <v>1664.5500000000002</v>
      </c>
      <c r="F64" s="102">
        <f>NMBS_flexabo!$F58*VLOOKUP($B$5,$AS$45:$AY$48,7,FALSE)</f>
        <v>1630</v>
      </c>
      <c r="G64" s="104">
        <f>IFERROR(VLOOKUP($B64,NMBS_abonnementen!$G$7:$H$156,2,FALSE),"-")*VLOOKUP($B$5,NMBS_halftijds!$P$4:$Q$44,2)</f>
        <v>1649.7561600000001</v>
      </c>
      <c r="H64" s="104">
        <f>IFERROR(VLOOKUP($B64,NMBS_abonnementen!$G$7:$I$156,3,FALSE)*$BB$22,"-")</f>
        <v>2388</v>
      </c>
      <c r="I64" s="104">
        <f>IFERROR(VLOOKUP($B64,NMBS_abonnementen!$G$7:$M$156,7,FALSE)*$BB$23,"-")</f>
        <v>2228</v>
      </c>
      <c r="J64" s="104" t="str">
        <f>IFERROR(VLOOKUP($B64,NMBS_abonnementen!$G$7:$Q$156,11,FALSE),"-")</f>
        <v xml:space="preserve"> 1988,00</v>
      </c>
      <c r="K64" s="104">
        <f>VLOOKUP($B64,NMBS_ticketten!$G$6:$I$155,3,FALSE)*$B$5*$E$5</f>
        <v>2116.8000000000002</v>
      </c>
      <c r="L64" s="101" t="str">
        <f t="shared" si="0"/>
        <v/>
      </c>
      <c r="M64" s="101">
        <f t="shared" si="1"/>
        <v>2203.2000000000003</v>
      </c>
      <c r="N64" s="103">
        <f t="shared" si="2"/>
        <v>669.6</v>
      </c>
      <c r="O64" s="174"/>
      <c r="P64" s="269">
        <f t="shared" si="18"/>
        <v>1551</v>
      </c>
      <c r="Q64" s="271">
        <f t="shared" si="19"/>
        <v>1551</v>
      </c>
      <c r="R64" s="208">
        <f>IFERROR(VLOOKUP($B64,NMBS_abonnementen!$G$7:$J$156,4,FALSE)*$CS$11,"-")</f>
        <v>2928</v>
      </c>
      <c r="S64" s="209">
        <f t="shared" si="20"/>
        <v>1377</v>
      </c>
      <c r="T64" s="208">
        <f>IFERROR(VLOOKUP($B64,NMBS_abonnementen!$G$7:$N$156,8,FALSE)*$CS$12,"-")</f>
        <v>2700</v>
      </c>
      <c r="U64" s="209">
        <f t="shared" si="21"/>
        <v>1149</v>
      </c>
      <c r="V64" s="210">
        <f>IFERROR(VLOOKUP($B64,NMBS_abonnementen!$G$7:$R$156,12,FALSE)*$CS$13,"-")</f>
        <v>2287</v>
      </c>
      <c r="W64" s="209">
        <f t="shared" si="22"/>
        <v>736</v>
      </c>
      <c r="X64" s="208">
        <f>IFERROR(VLOOKUP($B64,NMBS_abonnementen!$G$7:$K$156,5,FALSE)*$CS$18,"-")</f>
        <v>2736</v>
      </c>
      <c r="Y64" s="209">
        <f t="shared" si="23"/>
        <v>1185</v>
      </c>
      <c r="Z64" s="208">
        <f>IFERROR(VLOOKUP($B64,NMBS_abonnementen!$G$7:$O$156,9,FALSE)*$CS$19,"-")</f>
        <v>2496</v>
      </c>
      <c r="AA64" s="209">
        <f t="shared" si="24"/>
        <v>945</v>
      </c>
      <c r="AB64" s="210">
        <f>IFERROR(VLOOKUP($B64,NMBS_abonnementen!$G$7:$S$156,13,FALSE),"-")</f>
        <v>2163</v>
      </c>
      <c r="AC64" s="198">
        <f t="shared" si="17"/>
        <v>720</v>
      </c>
      <c r="AD64" s="198">
        <f t="shared" si="25"/>
        <v>50.399999999999977</v>
      </c>
      <c r="AE64" s="198">
        <f t="shared" si="26"/>
        <v>484</v>
      </c>
      <c r="AF64" s="198">
        <f t="shared" si="27"/>
        <v>-236</v>
      </c>
      <c r="AH64" s="198">
        <f t="shared" si="28"/>
        <v>669.6</v>
      </c>
      <c r="AI64" s="198">
        <f t="shared" si="29"/>
        <v>185.60000000000002</v>
      </c>
      <c r="AJ64" s="198">
        <f t="shared" si="30"/>
        <v>669.6</v>
      </c>
      <c r="AK64" s="198">
        <f t="shared" si="31"/>
        <v>0</v>
      </c>
      <c r="AL64" s="179"/>
      <c r="AM64" s="175"/>
      <c r="AN64" s="175"/>
      <c r="AX64" s="181"/>
      <c r="AY64" s="181"/>
      <c r="BA64" s="181">
        <v>2.2999999999999998</v>
      </c>
      <c r="BN64" s="182"/>
      <c r="BO64" s="182"/>
    </row>
    <row r="65" spans="2:53" ht="12" customHeight="1">
      <c r="B65" s="110">
        <v>55</v>
      </c>
      <c r="C65" s="102">
        <f>NMBS_flexabo!$C59*$AR$15</f>
        <v>1800</v>
      </c>
      <c r="D65" s="102">
        <f>NMBS_flexabo!$D59*$AR$22</f>
        <v>1595</v>
      </c>
      <c r="E65" s="102">
        <f>NMBS_flexabo!$E59*VLOOKUP($B$5,$AS$43:$AY$43,7,FALSE)</f>
        <v>1713.15</v>
      </c>
      <c r="F65" s="102">
        <f>NMBS_flexabo!$F59*VLOOKUP($B$5,$AS$45:$AY$48,7,FALSE)</f>
        <v>1679</v>
      </c>
      <c r="G65" s="104">
        <f>IFERROR(VLOOKUP($B65,NMBS_abonnementen!$G$7:$H$156,2,FALSE),"-")*VLOOKUP($B$5,NMBS_halftijds!$P$4:$Q$44,2)</f>
        <v>1698.2784000000001</v>
      </c>
      <c r="H65" s="104">
        <f>IFERROR(VLOOKUP($B65,NMBS_abonnementen!$G$7:$I$156,3,FALSE)*$BB$22,"-")</f>
        <v>2460</v>
      </c>
      <c r="I65" s="104">
        <f>IFERROR(VLOOKUP($B65,NMBS_abonnementen!$G$7:$M$156,7,FALSE)*$BB$23,"-")</f>
        <v>2292</v>
      </c>
      <c r="J65" s="104" t="str">
        <f>IFERROR(VLOOKUP($B65,NMBS_abonnementen!$G$7:$Q$156,11,FALSE),"-")</f>
        <v xml:space="preserve"> 2047,00</v>
      </c>
      <c r="K65" s="104">
        <f>VLOOKUP($B65,NMBS_ticketten!$G$6:$I$155,3,FALSE)*$B$5*$E$5</f>
        <v>2224.8000000000002</v>
      </c>
      <c r="L65" s="101" t="str">
        <f t="shared" si="0"/>
        <v/>
      </c>
      <c r="M65" s="101">
        <f t="shared" si="1"/>
        <v>2203.2000000000003</v>
      </c>
      <c r="N65" s="103">
        <f t="shared" si="2"/>
        <v>669.6</v>
      </c>
      <c r="O65" s="174"/>
      <c r="P65" s="269">
        <f t="shared" si="18"/>
        <v>1595</v>
      </c>
      <c r="Q65" s="271">
        <f t="shared" si="19"/>
        <v>1595</v>
      </c>
      <c r="R65" s="208">
        <f>IFERROR(VLOOKUP($B65,NMBS_abonnementen!$G$7:$J$156,4,FALSE)*$CS$11,"-")</f>
        <v>3000</v>
      </c>
      <c r="S65" s="209">
        <f t="shared" si="20"/>
        <v>1405</v>
      </c>
      <c r="T65" s="208">
        <f>IFERROR(VLOOKUP($B65,NMBS_abonnementen!$G$7:$N$156,8,FALSE)*$CS$12,"-")</f>
        <v>2764</v>
      </c>
      <c r="U65" s="209">
        <f t="shared" si="21"/>
        <v>1169</v>
      </c>
      <c r="V65" s="210">
        <f>IFERROR(VLOOKUP($B65,NMBS_abonnementen!$G$7:$R$156,12,FALSE)*$CS$13,"-")</f>
        <v>2346</v>
      </c>
      <c r="W65" s="209">
        <f t="shared" si="22"/>
        <v>751</v>
      </c>
      <c r="X65" s="208">
        <f>IFERROR(VLOOKUP($B65,NMBS_abonnementen!$G$7:$K$156,5,FALSE)*$CS$18,"-")</f>
        <v>2808</v>
      </c>
      <c r="Y65" s="209">
        <f t="shared" si="23"/>
        <v>1213</v>
      </c>
      <c r="Z65" s="208">
        <f>IFERROR(VLOOKUP($B65,NMBS_abonnementen!$G$7:$O$156,9,FALSE)*$CS$19,"-")</f>
        <v>2560</v>
      </c>
      <c r="AA65" s="209">
        <f t="shared" si="24"/>
        <v>965</v>
      </c>
      <c r="AB65" s="210">
        <f>IFERROR(VLOOKUP($B65,NMBS_abonnementen!$G$7:$S$156,13,FALSE),"-")</f>
        <v>2222</v>
      </c>
      <c r="AC65" s="198">
        <f t="shared" si="17"/>
        <v>720</v>
      </c>
      <c r="AD65" s="198">
        <f t="shared" si="25"/>
        <v>50.399999999999977</v>
      </c>
      <c r="AE65" s="198">
        <f t="shared" si="26"/>
        <v>484</v>
      </c>
      <c r="AF65" s="198">
        <f t="shared" si="27"/>
        <v>-236</v>
      </c>
      <c r="AH65" s="198">
        <f t="shared" si="28"/>
        <v>669.6</v>
      </c>
      <c r="AI65" s="198">
        <f t="shared" si="29"/>
        <v>185.60000000000002</v>
      </c>
      <c r="AJ65" s="198">
        <f t="shared" si="30"/>
        <v>669.6</v>
      </c>
      <c r="AK65" s="198">
        <f t="shared" si="31"/>
        <v>0</v>
      </c>
      <c r="AL65" s="179"/>
      <c r="AM65" s="175"/>
      <c r="AN65" s="175"/>
      <c r="AX65" s="181"/>
      <c r="AY65" s="181"/>
      <c r="BA65" s="181">
        <v>2.4</v>
      </c>
    </row>
    <row r="66" spans="2:53" ht="12" customHeight="1">
      <c r="B66" s="110">
        <v>56</v>
      </c>
      <c r="C66" s="102">
        <f>NMBS_flexabo!$C60*$AR$15</f>
        <v>1800</v>
      </c>
      <c r="D66" s="102">
        <f>NMBS_flexabo!$D60*$AR$22</f>
        <v>1595</v>
      </c>
      <c r="E66" s="102">
        <f>NMBS_flexabo!$E60*VLOOKUP($B$5,$AS$43:$AY$43,7,FALSE)</f>
        <v>1713.15</v>
      </c>
      <c r="F66" s="102">
        <f>NMBS_flexabo!$F60*VLOOKUP($B$5,$AS$45:$AY$48,7,FALSE)</f>
        <v>1679</v>
      </c>
      <c r="G66" s="104">
        <f>IFERROR(VLOOKUP($B66,NMBS_abonnementen!$G$7:$H$156,2,FALSE),"-")*VLOOKUP($B$5,NMBS_halftijds!$P$4:$Q$44,2)</f>
        <v>1698.2784000000001</v>
      </c>
      <c r="H66" s="104">
        <f>IFERROR(VLOOKUP($B66,NMBS_abonnementen!$G$7:$I$156,3,FALSE)*$BB$22,"-")</f>
        <v>2460</v>
      </c>
      <c r="I66" s="104">
        <f>IFERROR(VLOOKUP($B66,NMBS_abonnementen!$G$7:$M$156,7,FALSE)*$BB$23,"-")</f>
        <v>2292</v>
      </c>
      <c r="J66" s="104" t="str">
        <f>IFERROR(VLOOKUP($B66,NMBS_abonnementen!$G$7:$Q$156,11,FALSE),"-")</f>
        <v xml:space="preserve"> 2047,00</v>
      </c>
      <c r="K66" s="104">
        <f>VLOOKUP($B66,NMBS_ticketten!$G$6:$I$155,3,FALSE)*$B$5*$E$5</f>
        <v>2224.8000000000002</v>
      </c>
      <c r="L66" s="101" t="str">
        <f t="shared" si="0"/>
        <v/>
      </c>
      <c r="M66" s="101">
        <f t="shared" si="1"/>
        <v>2203.2000000000003</v>
      </c>
      <c r="N66" s="103">
        <f t="shared" si="2"/>
        <v>669.6</v>
      </c>
      <c r="O66" s="174"/>
      <c r="P66" s="269">
        <f t="shared" si="18"/>
        <v>1595</v>
      </c>
      <c r="Q66" s="271">
        <f t="shared" si="19"/>
        <v>1595</v>
      </c>
      <c r="R66" s="208">
        <f>IFERROR(VLOOKUP($B66,NMBS_abonnementen!$G$7:$J$156,4,FALSE)*$CS$11,"-")</f>
        <v>3000</v>
      </c>
      <c r="S66" s="209">
        <f t="shared" si="20"/>
        <v>1405</v>
      </c>
      <c r="T66" s="208">
        <f>IFERROR(VLOOKUP($B66,NMBS_abonnementen!$G$7:$N$156,8,FALSE)*$CS$12,"-")</f>
        <v>2764</v>
      </c>
      <c r="U66" s="209">
        <f t="shared" si="21"/>
        <v>1169</v>
      </c>
      <c r="V66" s="210">
        <f>IFERROR(VLOOKUP($B66,NMBS_abonnementen!$G$7:$R$156,12,FALSE)*$CS$13,"-")</f>
        <v>2346</v>
      </c>
      <c r="W66" s="209">
        <f t="shared" si="22"/>
        <v>751</v>
      </c>
      <c r="X66" s="208">
        <f>IFERROR(VLOOKUP($B66,NMBS_abonnementen!$G$7:$K$156,5,FALSE)*$CS$18,"-")</f>
        <v>2808</v>
      </c>
      <c r="Y66" s="209">
        <f t="shared" si="23"/>
        <v>1213</v>
      </c>
      <c r="Z66" s="208">
        <f>IFERROR(VLOOKUP($B66,NMBS_abonnementen!$G$7:$O$156,9,FALSE)*$CS$19,"-")</f>
        <v>2560</v>
      </c>
      <c r="AA66" s="209">
        <f t="shared" si="24"/>
        <v>965</v>
      </c>
      <c r="AB66" s="210">
        <f>IFERROR(VLOOKUP($B66,NMBS_abonnementen!$G$7:$S$156,13,FALSE),"-")</f>
        <v>2222</v>
      </c>
      <c r="AC66" s="198">
        <f t="shared" si="17"/>
        <v>720</v>
      </c>
      <c r="AD66" s="198">
        <f t="shared" si="25"/>
        <v>50.399999999999977</v>
      </c>
      <c r="AE66" s="198">
        <f t="shared" si="26"/>
        <v>484</v>
      </c>
      <c r="AF66" s="198">
        <f t="shared" si="27"/>
        <v>-236</v>
      </c>
      <c r="AH66" s="198">
        <f t="shared" si="28"/>
        <v>669.6</v>
      </c>
      <c r="AI66" s="198">
        <f t="shared" si="29"/>
        <v>185.60000000000002</v>
      </c>
      <c r="AJ66" s="198">
        <f t="shared" si="30"/>
        <v>669.6</v>
      </c>
      <c r="AK66" s="198">
        <f t="shared" si="31"/>
        <v>0</v>
      </c>
      <c r="AL66" s="179"/>
      <c r="AM66" s="175"/>
      <c r="AN66" s="175"/>
      <c r="AX66" s="181"/>
      <c r="AY66" s="181"/>
      <c r="BA66" s="181">
        <v>2.5</v>
      </c>
    </row>
    <row r="67" spans="2:53" ht="12" customHeight="1">
      <c r="B67" s="110">
        <v>57</v>
      </c>
      <c r="C67" s="102">
        <f>NMBS_flexabo!$C61*$AR$15</f>
        <v>1800</v>
      </c>
      <c r="D67" s="102">
        <f>NMBS_flexabo!$D61*$AR$22</f>
        <v>1595</v>
      </c>
      <c r="E67" s="102">
        <f>NMBS_flexabo!$E61*VLOOKUP($B$5,$AS$43:$AY$43,7,FALSE)</f>
        <v>1713.15</v>
      </c>
      <c r="F67" s="102">
        <f>NMBS_flexabo!$F61*VLOOKUP($B$5,$AS$45:$AY$48,7,FALSE)</f>
        <v>1679</v>
      </c>
      <c r="G67" s="104">
        <f>IFERROR(VLOOKUP($B67,NMBS_abonnementen!$G$7:$H$156,2,FALSE),"-")*VLOOKUP($B$5,NMBS_halftijds!$P$4:$Q$44,2)</f>
        <v>1698.2784000000001</v>
      </c>
      <c r="H67" s="104">
        <f>IFERROR(VLOOKUP($B67,NMBS_abonnementen!$G$7:$I$156,3,FALSE)*$BB$22,"-")</f>
        <v>2460</v>
      </c>
      <c r="I67" s="104">
        <f>IFERROR(VLOOKUP($B67,NMBS_abonnementen!$G$7:$M$156,7,FALSE)*$BB$23,"-")</f>
        <v>2292</v>
      </c>
      <c r="J67" s="104" t="str">
        <f>IFERROR(VLOOKUP($B67,NMBS_abonnementen!$G$7:$Q$156,11,FALSE),"-")</f>
        <v xml:space="preserve"> 2047,00</v>
      </c>
      <c r="K67" s="104">
        <f>VLOOKUP($B67,NMBS_ticketten!$G$6:$I$155,3,FALSE)*$B$5*$E$5</f>
        <v>2224.8000000000002</v>
      </c>
      <c r="L67" s="101" t="str">
        <f t="shared" si="0"/>
        <v/>
      </c>
      <c r="M67" s="101">
        <f t="shared" si="1"/>
        <v>2203.2000000000003</v>
      </c>
      <c r="N67" s="103">
        <f t="shared" si="2"/>
        <v>669.6</v>
      </c>
      <c r="O67" s="174"/>
      <c r="P67" s="269">
        <f t="shared" si="18"/>
        <v>1595</v>
      </c>
      <c r="Q67" s="271">
        <f t="shared" si="19"/>
        <v>1595</v>
      </c>
      <c r="R67" s="208">
        <f>IFERROR(VLOOKUP($B67,NMBS_abonnementen!$G$7:$J$156,4,FALSE)*$CS$11,"-")</f>
        <v>3000</v>
      </c>
      <c r="S67" s="209">
        <f t="shared" si="20"/>
        <v>1405</v>
      </c>
      <c r="T67" s="208">
        <f>IFERROR(VLOOKUP($B67,NMBS_abonnementen!$G$7:$N$156,8,FALSE)*$CS$12,"-")</f>
        <v>2764</v>
      </c>
      <c r="U67" s="209">
        <f t="shared" si="21"/>
        <v>1169</v>
      </c>
      <c r="V67" s="210">
        <f>IFERROR(VLOOKUP($B67,NMBS_abonnementen!$G$7:$R$156,12,FALSE)*$CS$13,"-")</f>
        <v>2346</v>
      </c>
      <c r="W67" s="209">
        <f t="shared" si="22"/>
        <v>751</v>
      </c>
      <c r="X67" s="208">
        <f>IFERROR(VLOOKUP($B67,NMBS_abonnementen!$G$7:$K$156,5,FALSE)*$CS$18,"-")</f>
        <v>2808</v>
      </c>
      <c r="Y67" s="209">
        <f t="shared" si="23"/>
        <v>1213</v>
      </c>
      <c r="Z67" s="208">
        <f>IFERROR(VLOOKUP($B67,NMBS_abonnementen!$G$7:$O$156,9,FALSE)*$CS$19,"-")</f>
        <v>2560</v>
      </c>
      <c r="AA67" s="209">
        <f t="shared" si="24"/>
        <v>965</v>
      </c>
      <c r="AB67" s="210">
        <f>IFERROR(VLOOKUP($B67,NMBS_abonnementen!$G$7:$S$156,13,FALSE),"-")</f>
        <v>2222</v>
      </c>
      <c r="AC67" s="198">
        <f t="shared" si="17"/>
        <v>720</v>
      </c>
      <c r="AD67" s="198">
        <f t="shared" si="25"/>
        <v>50.399999999999977</v>
      </c>
      <c r="AE67" s="198">
        <f t="shared" si="26"/>
        <v>484</v>
      </c>
      <c r="AF67" s="198">
        <f t="shared" si="27"/>
        <v>-236</v>
      </c>
      <c r="AH67" s="198">
        <f t="shared" si="28"/>
        <v>669.6</v>
      </c>
      <c r="AI67" s="198">
        <f t="shared" si="29"/>
        <v>185.60000000000002</v>
      </c>
      <c r="AJ67" s="198">
        <f t="shared" si="30"/>
        <v>669.6</v>
      </c>
      <c r="AK67" s="198">
        <f t="shared" si="31"/>
        <v>0</v>
      </c>
      <c r="AL67" s="179"/>
      <c r="AM67" s="175"/>
      <c r="AN67" s="175"/>
      <c r="AX67" s="181"/>
      <c r="AY67" s="181"/>
      <c r="BA67" s="181">
        <v>2.6</v>
      </c>
    </row>
    <row r="68" spans="2:53" ht="12" customHeight="1">
      <c r="B68" s="110">
        <v>58</v>
      </c>
      <c r="C68" s="102">
        <f>NMBS_flexabo!$C62*$AR$15</f>
        <v>1854</v>
      </c>
      <c r="D68" s="102">
        <f>NMBS_flexabo!$D62*$AR$22</f>
        <v>1650</v>
      </c>
      <c r="E68" s="102">
        <f>NMBS_flexabo!$E62*VLOOKUP($B$5,$AS$43:$AY$43,7,FALSE)</f>
        <v>1763.1000000000001</v>
      </c>
      <c r="F68" s="102">
        <f>NMBS_flexabo!$F62*VLOOKUP($B$5,$AS$45:$AY$48,7,FALSE)</f>
        <v>1727</v>
      </c>
      <c r="G68" s="104">
        <f>IFERROR(VLOOKUP($B68,NMBS_abonnementen!$G$7:$H$156,2,FALSE),"-")*VLOOKUP($B$5,NMBS_halftijds!$P$4:$Q$44,2)</f>
        <v>1746.8006400000002</v>
      </c>
      <c r="H68" s="104">
        <f>IFERROR(VLOOKUP($B68,NMBS_abonnementen!$G$7:$I$156,3,FALSE)*$BB$22,"-")</f>
        <v>2532</v>
      </c>
      <c r="I68" s="104">
        <f>IFERROR(VLOOKUP($B68,NMBS_abonnementen!$G$7:$M$156,7,FALSE)*$BB$23,"-")</f>
        <v>2360</v>
      </c>
      <c r="J68" s="104" t="str">
        <f>IFERROR(VLOOKUP($B68,NMBS_abonnementen!$G$7:$Q$156,11,FALSE),"-")</f>
        <v xml:space="preserve"> 2106,00</v>
      </c>
      <c r="K68" s="104">
        <f>VLOOKUP($B68,NMBS_ticketten!$G$6:$I$155,3,FALSE)*$B$5*$E$5</f>
        <v>2332.8000000000002</v>
      </c>
      <c r="L68" s="101" t="str">
        <f t="shared" si="0"/>
        <v/>
      </c>
      <c r="M68" s="101">
        <f t="shared" si="1"/>
        <v>2203.2000000000003</v>
      </c>
      <c r="N68" s="103">
        <f t="shared" si="2"/>
        <v>669.6</v>
      </c>
      <c r="O68" s="174"/>
      <c r="P68" s="269">
        <f t="shared" si="18"/>
        <v>1650</v>
      </c>
      <c r="Q68" s="271">
        <f t="shared" si="19"/>
        <v>1650</v>
      </c>
      <c r="R68" s="208">
        <f>IFERROR(VLOOKUP($B68,NMBS_abonnementen!$G$7:$J$156,4,FALSE)*$CS$11,"-")</f>
        <v>3072</v>
      </c>
      <c r="S68" s="209">
        <f t="shared" si="20"/>
        <v>1422</v>
      </c>
      <c r="T68" s="208">
        <f>IFERROR(VLOOKUP($B68,NMBS_abonnementen!$G$7:$N$156,8,FALSE)*$CS$12,"-")</f>
        <v>2832</v>
      </c>
      <c r="U68" s="209">
        <f t="shared" si="21"/>
        <v>1182</v>
      </c>
      <c r="V68" s="210">
        <f>IFERROR(VLOOKUP($B68,NMBS_abonnementen!$G$7:$R$156,12,FALSE)*$CS$13,"-")</f>
        <v>2405</v>
      </c>
      <c r="W68" s="209">
        <f t="shared" si="22"/>
        <v>755</v>
      </c>
      <c r="X68" s="208">
        <f>IFERROR(VLOOKUP($B68,NMBS_abonnementen!$G$7:$K$156,5,FALSE)*$CS$18,"-")</f>
        <v>2880</v>
      </c>
      <c r="Y68" s="209">
        <f t="shared" si="23"/>
        <v>1230</v>
      </c>
      <c r="Z68" s="208">
        <f>IFERROR(VLOOKUP($B68,NMBS_abonnementen!$G$7:$O$156,9,FALSE)*$CS$19,"-")</f>
        <v>2628</v>
      </c>
      <c r="AA68" s="209">
        <f t="shared" si="24"/>
        <v>978</v>
      </c>
      <c r="AB68" s="210">
        <f>IFERROR(VLOOKUP($B68,NMBS_abonnementen!$G$7:$S$156,13,FALSE),"-")</f>
        <v>2281</v>
      </c>
      <c r="AC68" s="198">
        <f t="shared" si="17"/>
        <v>720</v>
      </c>
      <c r="AD68" s="198">
        <f t="shared" si="25"/>
        <v>50.399999999999977</v>
      </c>
      <c r="AE68" s="198">
        <f t="shared" si="26"/>
        <v>484</v>
      </c>
      <c r="AF68" s="198">
        <f t="shared" si="27"/>
        <v>-236</v>
      </c>
      <c r="AH68" s="198">
        <f t="shared" si="28"/>
        <v>669.6</v>
      </c>
      <c r="AI68" s="198">
        <f t="shared" si="29"/>
        <v>185.60000000000002</v>
      </c>
      <c r="AJ68" s="198">
        <f t="shared" si="30"/>
        <v>669.6</v>
      </c>
      <c r="AK68" s="198">
        <f t="shared" si="31"/>
        <v>0</v>
      </c>
      <c r="AL68" s="179"/>
      <c r="AM68" s="175"/>
      <c r="AN68" s="175"/>
      <c r="AX68" s="181"/>
      <c r="AY68" s="181"/>
      <c r="BA68" s="181">
        <v>2.7</v>
      </c>
    </row>
    <row r="69" spans="2:53" ht="12" customHeight="1">
      <c r="B69" s="110">
        <v>59</v>
      </c>
      <c r="C69" s="102">
        <f>NMBS_flexabo!$C63*$AR$15</f>
        <v>1854</v>
      </c>
      <c r="D69" s="102">
        <f>NMBS_flexabo!$D63*$AR$22</f>
        <v>1650</v>
      </c>
      <c r="E69" s="102">
        <f>NMBS_flexabo!$E63*VLOOKUP($B$5,$AS$43:$AY$43,7,FALSE)</f>
        <v>1763.1000000000001</v>
      </c>
      <c r="F69" s="102">
        <f>NMBS_flexabo!$F63*VLOOKUP($B$5,$AS$45:$AY$48,7,FALSE)</f>
        <v>1727</v>
      </c>
      <c r="G69" s="104">
        <f>IFERROR(VLOOKUP($B69,NMBS_abonnementen!$G$7:$H$156,2,FALSE),"-")*VLOOKUP($B$5,NMBS_halftijds!$P$4:$Q$44,2)</f>
        <v>1746.8006400000002</v>
      </c>
      <c r="H69" s="104">
        <f>IFERROR(VLOOKUP($B69,NMBS_abonnementen!$G$7:$I$156,3,FALSE)*$BB$22,"-")</f>
        <v>2532</v>
      </c>
      <c r="I69" s="104">
        <f>IFERROR(VLOOKUP($B69,NMBS_abonnementen!$G$7:$M$156,7,FALSE)*$BB$23,"-")</f>
        <v>2360</v>
      </c>
      <c r="J69" s="104" t="str">
        <f>IFERROR(VLOOKUP($B69,NMBS_abonnementen!$G$7:$Q$156,11,FALSE),"-")</f>
        <v xml:space="preserve"> 2106,00</v>
      </c>
      <c r="K69" s="104">
        <f>VLOOKUP($B69,NMBS_ticketten!$G$6:$I$155,3,FALSE)*$B$5*$E$5</f>
        <v>2332.8000000000002</v>
      </c>
      <c r="L69" s="101" t="str">
        <f t="shared" si="0"/>
        <v/>
      </c>
      <c r="M69" s="101">
        <f t="shared" si="1"/>
        <v>2203.2000000000003</v>
      </c>
      <c r="N69" s="103">
        <f t="shared" si="2"/>
        <v>669.6</v>
      </c>
      <c r="O69" s="174"/>
      <c r="P69" s="269">
        <f t="shared" si="18"/>
        <v>1650</v>
      </c>
      <c r="Q69" s="271">
        <f t="shared" si="19"/>
        <v>1650</v>
      </c>
      <c r="R69" s="208">
        <f>IFERROR(VLOOKUP($B69,NMBS_abonnementen!$G$7:$J$156,4,FALSE)*$CS$11,"-")</f>
        <v>3072</v>
      </c>
      <c r="S69" s="209">
        <f t="shared" si="20"/>
        <v>1422</v>
      </c>
      <c r="T69" s="208">
        <f>IFERROR(VLOOKUP($B69,NMBS_abonnementen!$G$7:$N$156,8,FALSE)*$CS$12,"-")</f>
        <v>2832</v>
      </c>
      <c r="U69" s="209">
        <f t="shared" si="21"/>
        <v>1182</v>
      </c>
      <c r="V69" s="210">
        <f>IFERROR(VLOOKUP($B69,NMBS_abonnementen!$G$7:$R$156,12,FALSE)*$CS$13,"-")</f>
        <v>2405</v>
      </c>
      <c r="W69" s="209">
        <f t="shared" si="22"/>
        <v>755</v>
      </c>
      <c r="X69" s="208">
        <f>IFERROR(VLOOKUP($B69,NMBS_abonnementen!$G$7:$K$156,5,FALSE)*$CS$18,"-")</f>
        <v>2880</v>
      </c>
      <c r="Y69" s="209">
        <f t="shared" si="23"/>
        <v>1230</v>
      </c>
      <c r="Z69" s="208">
        <f>IFERROR(VLOOKUP($B69,NMBS_abonnementen!$G$7:$O$156,9,FALSE)*$CS$19,"-")</f>
        <v>2628</v>
      </c>
      <c r="AA69" s="209">
        <f t="shared" si="24"/>
        <v>978</v>
      </c>
      <c r="AB69" s="210">
        <f>IFERROR(VLOOKUP($B69,NMBS_abonnementen!$G$7:$S$156,13,FALSE),"-")</f>
        <v>2281</v>
      </c>
      <c r="AC69" s="198">
        <f t="shared" si="17"/>
        <v>720</v>
      </c>
      <c r="AD69" s="198">
        <f t="shared" si="25"/>
        <v>50.399999999999977</v>
      </c>
      <c r="AE69" s="198">
        <f t="shared" si="26"/>
        <v>484</v>
      </c>
      <c r="AF69" s="198">
        <f t="shared" si="27"/>
        <v>-236</v>
      </c>
      <c r="AH69" s="198">
        <f t="shared" si="28"/>
        <v>669.6</v>
      </c>
      <c r="AI69" s="198">
        <f t="shared" si="29"/>
        <v>185.60000000000002</v>
      </c>
      <c r="AJ69" s="198">
        <f t="shared" si="30"/>
        <v>669.6</v>
      </c>
      <c r="AK69" s="198">
        <f t="shared" si="31"/>
        <v>0</v>
      </c>
      <c r="AL69" s="179"/>
      <c r="AM69" s="175"/>
      <c r="AN69" s="175"/>
      <c r="AX69" s="181"/>
      <c r="AY69" s="181"/>
      <c r="BA69" s="181">
        <v>2.8</v>
      </c>
    </row>
    <row r="70" spans="2:53" ht="12" customHeight="1">
      <c r="B70" s="110">
        <v>60</v>
      </c>
      <c r="C70" s="102">
        <f>NMBS_flexabo!$C64*$AR$15</f>
        <v>1854</v>
      </c>
      <c r="D70" s="102">
        <f>NMBS_flexabo!$D64*$AR$22</f>
        <v>1650</v>
      </c>
      <c r="E70" s="102">
        <f>NMBS_flexabo!$E64*VLOOKUP($B$5,$AS$43:$AY$43,7,FALSE)</f>
        <v>1763.1000000000001</v>
      </c>
      <c r="F70" s="102">
        <f>NMBS_flexabo!$F64*VLOOKUP($B$5,$AS$45:$AY$48,7,FALSE)</f>
        <v>1727</v>
      </c>
      <c r="G70" s="104">
        <f>IFERROR(VLOOKUP($B70,NMBS_abonnementen!$G$7:$H$156,2,FALSE),"-")*VLOOKUP($B$5,NMBS_halftijds!$P$4:$Q$44,2)</f>
        <v>1746.8006400000002</v>
      </c>
      <c r="H70" s="104">
        <f>IFERROR(VLOOKUP($B70,NMBS_abonnementen!$G$7:$I$156,3,FALSE)*$BB$22,"-")</f>
        <v>2532</v>
      </c>
      <c r="I70" s="104">
        <f>IFERROR(VLOOKUP($B70,NMBS_abonnementen!$G$7:$M$156,7,FALSE)*$BB$23,"-")</f>
        <v>2360</v>
      </c>
      <c r="J70" s="104" t="str">
        <f>IFERROR(VLOOKUP($B70,NMBS_abonnementen!$G$7:$Q$156,11,FALSE),"-")</f>
        <v xml:space="preserve"> 2106,00</v>
      </c>
      <c r="K70" s="104">
        <f>VLOOKUP($B70,NMBS_ticketten!$G$6:$I$155,3,FALSE)*$B$5*$E$5</f>
        <v>2332.8000000000002</v>
      </c>
      <c r="L70" s="101" t="str">
        <f t="shared" si="0"/>
        <v/>
      </c>
      <c r="M70" s="101">
        <f t="shared" si="1"/>
        <v>2203.2000000000003</v>
      </c>
      <c r="N70" s="103">
        <f t="shared" si="2"/>
        <v>669.6</v>
      </c>
      <c r="O70" s="174"/>
      <c r="P70" s="269">
        <f t="shared" si="18"/>
        <v>1650</v>
      </c>
      <c r="Q70" s="271">
        <f t="shared" si="19"/>
        <v>1650</v>
      </c>
      <c r="R70" s="208">
        <f>IFERROR(VLOOKUP($B70,NMBS_abonnementen!$G$7:$J$156,4,FALSE)*$CS$11,"-")</f>
        <v>3072</v>
      </c>
      <c r="S70" s="209">
        <f t="shared" si="20"/>
        <v>1422</v>
      </c>
      <c r="T70" s="208">
        <f>IFERROR(VLOOKUP($B70,NMBS_abonnementen!$G$7:$N$156,8,FALSE)*$CS$12,"-")</f>
        <v>2832</v>
      </c>
      <c r="U70" s="209">
        <f t="shared" si="21"/>
        <v>1182</v>
      </c>
      <c r="V70" s="210">
        <f>IFERROR(VLOOKUP($B70,NMBS_abonnementen!$G$7:$R$156,12,FALSE)*$CS$13,"-")</f>
        <v>2405</v>
      </c>
      <c r="W70" s="209">
        <f t="shared" si="22"/>
        <v>755</v>
      </c>
      <c r="X70" s="208">
        <f>IFERROR(VLOOKUP($B70,NMBS_abonnementen!$G$7:$K$156,5,FALSE)*$CS$18,"-")</f>
        <v>2880</v>
      </c>
      <c r="Y70" s="209">
        <f t="shared" si="23"/>
        <v>1230</v>
      </c>
      <c r="Z70" s="208">
        <f>IFERROR(VLOOKUP($B70,NMBS_abonnementen!$G$7:$O$156,9,FALSE)*$CS$19,"-")</f>
        <v>2628</v>
      </c>
      <c r="AA70" s="209">
        <f t="shared" si="24"/>
        <v>978</v>
      </c>
      <c r="AB70" s="210">
        <f>IFERROR(VLOOKUP($B70,NMBS_abonnementen!$G$7:$S$156,13,FALSE),"-")</f>
        <v>2281</v>
      </c>
      <c r="AC70" s="198">
        <f t="shared" si="17"/>
        <v>720</v>
      </c>
      <c r="AD70" s="198">
        <f t="shared" si="25"/>
        <v>50.399999999999977</v>
      </c>
      <c r="AE70" s="198">
        <f t="shared" si="26"/>
        <v>484</v>
      </c>
      <c r="AF70" s="198">
        <f t="shared" si="27"/>
        <v>-236</v>
      </c>
      <c r="AH70" s="198">
        <f t="shared" si="28"/>
        <v>669.6</v>
      </c>
      <c r="AI70" s="198">
        <f t="shared" si="29"/>
        <v>185.60000000000002</v>
      </c>
      <c r="AJ70" s="198">
        <f t="shared" si="30"/>
        <v>669.6</v>
      </c>
      <c r="AK70" s="198">
        <f t="shared" si="31"/>
        <v>0</v>
      </c>
      <c r="AL70" s="179"/>
      <c r="AM70" s="175"/>
      <c r="AN70" s="175"/>
      <c r="AX70" s="181"/>
      <c r="AY70" s="181"/>
      <c r="BA70" s="181">
        <v>2.9</v>
      </c>
    </row>
    <row r="71" spans="2:53" ht="12" customHeight="1">
      <c r="B71" s="110">
        <v>61</v>
      </c>
      <c r="C71" s="102">
        <f>NMBS_flexabo!$C65*$AR$15</f>
        <v>1926</v>
      </c>
      <c r="D71" s="102">
        <f>NMBS_flexabo!$D65*$AR$22</f>
        <v>1705</v>
      </c>
      <c r="E71" s="102">
        <f>NMBS_flexabo!$E65*VLOOKUP($B$5,$AS$43:$AY$43,7,FALSE)</f>
        <v>1829.2500000000002</v>
      </c>
      <c r="F71" s="102">
        <f>NMBS_flexabo!$F65*VLOOKUP($B$5,$AS$45:$AY$48,7,FALSE)</f>
        <v>1792</v>
      </c>
      <c r="G71" s="104">
        <f>IFERROR(VLOOKUP($B71,NMBS_abonnementen!$G$7:$H$156,2,FALSE),"-")*VLOOKUP($B$5,NMBS_halftijds!$P$4:$Q$44,2)</f>
        <v>1819.5840000000001</v>
      </c>
      <c r="H71" s="104">
        <f>IFERROR(VLOOKUP($B71,NMBS_abonnementen!$G$7:$I$156,3,FALSE)*$BB$22,"-")</f>
        <v>2628</v>
      </c>
      <c r="I71" s="104">
        <f>IFERROR(VLOOKUP($B71,NMBS_abonnementen!$G$7:$M$156,7,FALSE)*$BB$23,"-")</f>
        <v>2448</v>
      </c>
      <c r="J71" s="104" t="str">
        <f>IFERROR(VLOOKUP($B71,NMBS_abonnementen!$G$7:$Q$156,11,FALSE),"-")</f>
        <v xml:space="preserve"> 2185,00</v>
      </c>
      <c r="K71" s="104">
        <f>VLOOKUP($B71,NMBS_ticketten!$G$6:$I$155,3,FALSE)*$B$5*$E$5</f>
        <v>2462.4</v>
      </c>
      <c r="L71" s="101" t="str">
        <f t="shared" si="0"/>
        <v/>
      </c>
      <c r="M71" s="101">
        <f t="shared" si="1"/>
        <v>2203.2000000000003</v>
      </c>
      <c r="N71" s="103">
        <f t="shared" si="2"/>
        <v>669.6</v>
      </c>
      <c r="O71" s="174"/>
      <c r="P71" s="269">
        <f t="shared" si="18"/>
        <v>1705</v>
      </c>
      <c r="Q71" s="271">
        <f t="shared" si="19"/>
        <v>1705</v>
      </c>
      <c r="R71" s="208">
        <f>IFERROR(VLOOKUP($B71,NMBS_abonnementen!$G$7:$J$156,4,FALSE)*$CS$11,"-")</f>
        <v>3168</v>
      </c>
      <c r="S71" s="209">
        <f t="shared" si="20"/>
        <v>1463</v>
      </c>
      <c r="T71" s="208">
        <f>IFERROR(VLOOKUP($B71,NMBS_abonnementen!$G$7:$N$156,8,FALSE)*$CS$12,"-")</f>
        <v>2920</v>
      </c>
      <c r="U71" s="209">
        <f t="shared" si="21"/>
        <v>1215</v>
      </c>
      <c r="V71" s="210">
        <f>IFERROR(VLOOKUP($B71,NMBS_abonnementen!$G$7:$R$156,12,FALSE)*$CS$13,"-")</f>
        <v>2484</v>
      </c>
      <c r="W71" s="209">
        <f t="shared" si="22"/>
        <v>779</v>
      </c>
      <c r="X71" s="208">
        <f>IFERROR(VLOOKUP($B71,NMBS_abonnementen!$G$7:$K$156,5,FALSE)*$CS$18,"-")</f>
        <v>2976</v>
      </c>
      <c r="Y71" s="209">
        <f t="shared" si="23"/>
        <v>1271</v>
      </c>
      <c r="Z71" s="208">
        <f>IFERROR(VLOOKUP($B71,NMBS_abonnementen!$G$7:$O$156,9,FALSE)*$CS$19,"-")</f>
        <v>2716</v>
      </c>
      <c r="AA71" s="209">
        <f t="shared" si="24"/>
        <v>1011</v>
      </c>
      <c r="AB71" s="210">
        <f>IFERROR(VLOOKUP($B71,NMBS_abonnementen!$G$7:$S$156,13,FALSE),"-")</f>
        <v>2360</v>
      </c>
      <c r="AC71" s="198">
        <f t="shared" si="17"/>
        <v>720</v>
      </c>
      <c r="AD71" s="198">
        <f t="shared" si="25"/>
        <v>50.399999999999977</v>
      </c>
      <c r="AE71" s="198">
        <f t="shared" si="26"/>
        <v>484</v>
      </c>
      <c r="AF71" s="198">
        <f t="shared" si="27"/>
        <v>-236</v>
      </c>
      <c r="AH71" s="198">
        <f t="shared" si="28"/>
        <v>669.6</v>
      </c>
      <c r="AI71" s="198">
        <f t="shared" si="29"/>
        <v>185.60000000000002</v>
      </c>
      <c r="AJ71" s="198">
        <f t="shared" si="30"/>
        <v>669.6</v>
      </c>
      <c r="AK71" s="198">
        <f t="shared" si="31"/>
        <v>0</v>
      </c>
      <c r="AL71" s="179"/>
      <c r="AM71" s="175"/>
      <c r="AN71" s="175"/>
      <c r="AX71" s="181"/>
      <c r="AY71" s="181"/>
      <c r="BA71" s="181">
        <v>3</v>
      </c>
    </row>
    <row r="72" spans="2:53" ht="12" customHeight="1">
      <c r="B72" s="110">
        <v>62</v>
      </c>
      <c r="C72" s="102">
        <f>NMBS_flexabo!$C66*$AR$15</f>
        <v>1926</v>
      </c>
      <c r="D72" s="102">
        <f>NMBS_flexabo!$D66*$AR$22</f>
        <v>1705</v>
      </c>
      <c r="E72" s="102">
        <f>NMBS_flexabo!$E66*VLOOKUP($B$5,$AS$43:$AY$43,7,FALSE)</f>
        <v>1829.2500000000002</v>
      </c>
      <c r="F72" s="102">
        <f>NMBS_flexabo!$F66*VLOOKUP($B$5,$AS$45:$AY$48,7,FALSE)</f>
        <v>1792</v>
      </c>
      <c r="G72" s="104">
        <f>IFERROR(VLOOKUP($B72,NMBS_abonnementen!$G$7:$H$156,2,FALSE),"-")*VLOOKUP($B$5,NMBS_halftijds!$P$4:$Q$44,2)</f>
        <v>1819.5840000000001</v>
      </c>
      <c r="H72" s="104">
        <f>IFERROR(VLOOKUP($B72,NMBS_abonnementen!$G$7:$I$156,3,FALSE)*$BB$22,"-")</f>
        <v>2628</v>
      </c>
      <c r="I72" s="104">
        <f>IFERROR(VLOOKUP($B72,NMBS_abonnementen!$G$7:$M$156,7,FALSE)*$BB$23,"-")</f>
        <v>2448</v>
      </c>
      <c r="J72" s="104" t="str">
        <f>IFERROR(VLOOKUP($B72,NMBS_abonnementen!$G$7:$Q$156,11,FALSE),"-")</f>
        <v xml:space="preserve"> 2185,00</v>
      </c>
      <c r="K72" s="104">
        <f>VLOOKUP($B72,NMBS_ticketten!$G$6:$I$155,3,FALSE)*$B$5*$E$5</f>
        <v>2462.4</v>
      </c>
      <c r="L72" s="101" t="str">
        <f t="shared" si="0"/>
        <v/>
      </c>
      <c r="M72" s="101">
        <f t="shared" si="1"/>
        <v>2203.2000000000003</v>
      </c>
      <c r="N72" s="103">
        <f t="shared" si="2"/>
        <v>669.6</v>
      </c>
      <c r="O72" s="174"/>
      <c r="P72" s="269">
        <f t="shared" si="18"/>
        <v>1705</v>
      </c>
      <c r="Q72" s="271">
        <f t="shared" si="19"/>
        <v>1705</v>
      </c>
      <c r="R72" s="208">
        <f>IFERROR(VLOOKUP($B72,NMBS_abonnementen!$G$7:$J$156,4,FALSE)*$CS$11,"-")</f>
        <v>3168</v>
      </c>
      <c r="S72" s="209">
        <f t="shared" si="20"/>
        <v>1463</v>
      </c>
      <c r="T72" s="208">
        <f>IFERROR(VLOOKUP($B72,NMBS_abonnementen!$G$7:$N$156,8,FALSE)*$CS$12,"-")</f>
        <v>2920</v>
      </c>
      <c r="U72" s="209">
        <f t="shared" si="21"/>
        <v>1215</v>
      </c>
      <c r="V72" s="210">
        <f>IFERROR(VLOOKUP($B72,NMBS_abonnementen!$G$7:$R$156,12,FALSE)*$CS$13,"-")</f>
        <v>2484</v>
      </c>
      <c r="W72" s="209">
        <f t="shared" si="22"/>
        <v>779</v>
      </c>
      <c r="X72" s="208">
        <f>IFERROR(VLOOKUP($B72,NMBS_abonnementen!$G$7:$K$156,5,FALSE)*$CS$18,"-")</f>
        <v>2976</v>
      </c>
      <c r="Y72" s="209">
        <f t="shared" si="23"/>
        <v>1271</v>
      </c>
      <c r="Z72" s="208">
        <f>IFERROR(VLOOKUP($B72,NMBS_abonnementen!$G$7:$O$156,9,FALSE)*$CS$19,"-")</f>
        <v>2716</v>
      </c>
      <c r="AA72" s="209">
        <f t="shared" si="24"/>
        <v>1011</v>
      </c>
      <c r="AB72" s="210">
        <f>IFERROR(VLOOKUP($B72,NMBS_abonnementen!$G$7:$S$156,13,FALSE),"-")</f>
        <v>2360</v>
      </c>
      <c r="AC72" s="198">
        <f t="shared" si="17"/>
        <v>720</v>
      </c>
      <c r="AD72" s="198">
        <f t="shared" si="25"/>
        <v>50.399999999999977</v>
      </c>
      <c r="AE72" s="198">
        <f t="shared" si="26"/>
        <v>484</v>
      </c>
      <c r="AF72" s="198">
        <f t="shared" si="27"/>
        <v>-236</v>
      </c>
      <c r="AH72" s="198">
        <f t="shared" si="28"/>
        <v>669.6</v>
      </c>
      <c r="AI72" s="198">
        <f t="shared" si="29"/>
        <v>185.60000000000002</v>
      </c>
      <c r="AJ72" s="198">
        <f t="shared" si="30"/>
        <v>669.6</v>
      </c>
      <c r="AK72" s="198">
        <f t="shared" si="31"/>
        <v>0</v>
      </c>
      <c r="AL72" s="179"/>
      <c r="AM72" s="175"/>
      <c r="AN72" s="175"/>
      <c r="AX72" s="181"/>
      <c r="AY72" s="181"/>
      <c r="BA72" s="181">
        <v>3.1</v>
      </c>
    </row>
    <row r="73" spans="2:53" ht="12" customHeight="1">
      <c r="B73" s="110">
        <v>63</v>
      </c>
      <c r="C73" s="102">
        <f>NMBS_flexabo!$C67*$AR$15</f>
        <v>1926</v>
      </c>
      <c r="D73" s="102">
        <f>NMBS_flexabo!$D67*$AR$22</f>
        <v>1705</v>
      </c>
      <c r="E73" s="102">
        <f>NMBS_flexabo!$E67*VLOOKUP($B$5,$AS$43:$AY$43,7,FALSE)</f>
        <v>1829.2500000000002</v>
      </c>
      <c r="F73" s="102">
        <f>NMBS_flexabo!$F67*VLOOKUP($B$5,$AS$45:$AY$48,7,FALSE)</f>
        <v>1792</v>
      </c>
      <c r="G73" s="104">
        <f>IFERROR(VLOOKUP($B73,NMBS_abonnementen!$G$7:$H$156,2,FALSE),"-")*VLOOKUP($B$5,NMBS_halftijds!$P$4:$Q$44,2)</f>
        <v>1819.5840000000001</v>
      </c>
      <c r="H73" s="104">
        <f>IFERROR(VLOOKUP($B73,NMBS_abonnementen!$G$7:$I$156,3,FALSE)*$BB$22,"-")</f>
        <v>2628</v>
      </c>
      <c r="I73" s="104">
        <f>IFERROR(VLOOKUP($B73,NMBS_abonnementen!$G$7:$M$156,7,FALSE)*$BB$23,"-")</f>
        <v>2448</v>
      </c>
      <c r="J73" s="104" t="str">
        <f>IFERROR(VLOOKUP($B73,NMBS_abonnementen!$G$7:$Q$156,11,FALSE),"-")</f>
        <v xml:space="preserve"> 2185,00</v>
      </c>
      <c r="K73" s="104">
        <f>VLOOKUP($B73,NMBS_ticketten!$G$6:$I$155,3,FALSE)*$B$5*$E$5</f>
        <v>2462.4</v>
      </c>
      <c r="L73" s="101" t="str">
        <f t="shared" si="0"/>
        <v/>
      </c>
      <c r="M73" s="101">
        <f t="shared" si="1"/>
        <v>2203.2000000000003</v>
      </c>
      <c r="N73" s="103">
        <f t="shared" si="2"/>
        <v>669.6</v>
      </c>
      <c r="O73" s="174"/>
      <c r="P73" s="269">
        <f t="shared" si="18"/>
        <v>1705</v>
      </c>
      <c r="Q73" s="271">
        <f t="shared" si="19"/>
        <v>1705</v>
      </c>
      <c r="R73" s="208">
        <f>IFERROR(VLOOKUP($B73,NMBS_abonnementen!$G$7:$J$156,4,FALSE)*$CS$11,"-")</f>
        <v>3168</v>
      </c>
      <c r="S73" s="209">
        <f t="shared" si="20"/>
        <v>1463</v>
      </c>
      <c r="T73" s="208">
        <f>IFERROR(VLOOKUP($B73,NMBS_abonnementen!$G$7:$N$156,8,FALSE)*$CS$12,"-")</f>
        <v>2920</v>
      </c>
      <c r="U73" s="209">
        <f t="shared" si="21"/>
        <v>1215</v>
      </c>
      <c r="V73" s="210">
        <f>IFERROR(VLOOKUP($B73,NMBS_abonnementen!$G$7:$R$156,12,FALSE)*$CS$13,"-")</f>
        <v>2484</v>
      </c>
      <c r="W73" s="209">
        <f t="shared" si="22"/>
        <v>779</v>
      </c>
      <c r="X73" s="208">
        <f>IFERROR(VLOOKUP($B73,NMBS_abonnementen!$G$7:$K$156,5,FALSE)*$CS$18,"-")</f>
        <v>2976</v>
      </c>
      <c r="Y73" s="209">
        <f t="shared" si="23"/>
        <v>1271</v>
      </c>
      <c r="Z73" s="208">
        <f>IFERROR(VLOOKUP($B73,NMBS_abonnementen!$G$7:$O$156,9,FALSE)*$CS$19,"-")</f>
        <v>2716</v>
      </c>
      <c r="AA73" s="209">
        <f t="shared" si="24"/>
        <v>1011</v>
      </c>
      <c r="AB73" s="210">
        <f>IFERROR(VLOOKUP($B73,NMBS_abonnementen!$G$7:$S$156,13,FALSE),"-")</f>
        <v>2360</v>
      </c>
      <c r="AC73" s="198">
        <f t="shared" si="17"/>
        <v>720</v>
      </c>
      <c r="AD73" s="198">
        <f t="shared" si="25"/>
        <v>50.399999999999977</v>
      </c>
      <c r="AE73" s="198">
        <f t="shared" si="26"/>
        <v>484</v>
      </c>
      <c r="AF73" s="198">
        <f t="shared" si="27"/>
        <v>-236</v>
      </c>
      <c r="AH73" s="198">
        <f t="shared" si="28"/>
        <v>669.6</v>
      </c>
      <c r="AI73" s="198">
        <f t="shared" si="29"/>
        <v>185.60000000000002</v>
      </c>
      <c r="AJ73" s="198">
        <f t="shared" si="30"/>
        <v>669.6</v>
      </c>
      <c r="AK73" s="198">
        <f t="shared" si="31"/>
        <v>0</v>
      </c>
      <c r="AL73" s="179"/>
      <c r="AM73" s="175"/>
      <c r="AN73" s="175"/>
      <c r="AX73" s="181"/>
      <c r="AY73" s="181"/>
      <c r="BA73" s="181">
        <v>3.2</v>
      </c>
    </row>
    <row r="74" spans="2:53" ht="12" customHeight="1">
      <c r="B74" s="110">
        <v>64</v>
      </c>
      <c r="C74" s="102">
        <f>NMBS_flexabo!$C68*$AR$15</f>
        <v>1926</v>
      </c>
      <c r="D74" s="102">
        <f>NMBS_flexabo!$D68*$AR$22</f>
        <v>1705</v>
      </c>
      <c r="E74" s="102">
        <f>NMBS_flexabo!$E68*VLOOKUP($B$5,$AS$43:$AY$43,7,FALSE)</f>
        <v>1829.2500000000002</v>
      </c>
      <c r="F74" s="102">
        <f>NMBS_flexabo!$F68*VLOOKUP($B$5,$AS$45:$AY$48,7,FALSE)</f>
        <v>1792</v>
      </c>
      <c r="G74" s="104">
        <f>IFERROR(VLOOKUP($B74,NMBS_abonnementen!$G$7:$H$156,2,FALSE),"-")*VLOOKUP($B$5,NMBS_halftijds!$P$4:$Q$44,2)</f>
        <v>1819.5840000000001</v>
      </c>
      <c r="H74" s="104">
        <f>IFERROR(VLOOKUP($B74,NMBS_abonnementen!$G$7:$I$156,3,FALSE)*$BB$22,"-")</f>
        <v>2628</v>
      </c>
      <c r="I74" s="104">
        <f>IFERROR(VLOOKUP($B74,NMBS_abonnementen!$G$7:$M$156,7,FALSE)*$BB$23,"-")</f>
        <v>2448</v>
      </c>
      <c r="J74" s="104" t="str">
        <f>IFERROR(VLOOKUP($B74,NMBS_abonnementen!$G$7:$Q$156,11,FALSE),"-")</f>
        <v xml:space="preserve"> 2185,00</v>
      </c>
      <c r="K74" s="104">
        <f>VLOOKUP($B74,NMBS_ticketten!$G$6:$I$155,3,FALSE)*$B$5*$E$5</f>
        <v>2462.4</v>
      </c>
      <c r="L74" s="101" t="str">
        <f t="shared" si="0"/>
        <v/>
      </c>
      <c r="M74" s="101">
        <f t="shared" si="1"/>
        <v>2203.2000000000003</v>
      </c>
      <c r="N74" s="103">
        <f t="shared" si="2"/>
        <v>669.6</v>
      </c>
      <c r="O74" s="174"/>
      <c r="P74" s="269">
        <f t="shared" si="18"/>
        <v>1705</v>
      </c>
      <c r="Q74" s="271">
        <f t="shared" si="19"/>
        <v>1705</v>
      </c>
      <c r="R74" s="208">
        <f>IFERROR(VLOOKUP($B74,NMBS_abonnementen!$G$7:$J$156,4,FALSE)*$CS$11,"-")</f>
        <v>3168</v>
      </c>
      <c r="S74" s="209">
        <f t="shared" si="20"/>
        <v>1463</v>
      </c>
      <c r="T74" s="208">
        <f>IFERROR(VLOOKUP($B74,NMBS_abonnementen!$G$7:$N$156,8,FALSE)*$CS$12,"-")</f>
        <v>2920</v>
      </c>
      <c r="U74" s="209">
        <f t="shared" si="21"/>
        <v>1215</v>
      </c>
      <c r="V74" s="210">
        <f>IFERROR(VLOOKUP($B74,NMBS_abonnementen!$G$7:$R$156,12,FALSE)*$CS$13,"-")</f>
        <v>2484</v>
      </c>
      <c r="W74" s="209">
        <f t="shared" si="22"/>
        <v>779</v>
      </c>
      <c r="X74" s="208">
        <f>IFERROR(VLOOKUP($B74,NMBS_abonnementen!$G$7:$K$156,5,FALSE)*$CS$18,"-")</f>
        <v>2976</v>
      </c>
      <c r="Y74" s="209">
        <f t="shared" si="23"/>
        <v>1271</v>
      </c>
      <c r="Z74" s="208">
        <f>IFERROR(VLOOKUP($B74,NMBS_abonnementen!$G$7:$O$156,9,FALSE)*$CS$19,"-")</f>
        <v>2716</v>
      </c>
      <c r="AA74" s="209">
        <f t="shared" si="24"/>
        <v>1011</v>
      </c>
      <c r="AB74" s="210">
        <f>IFERROR(VLOOKUP($B74,NMBS_abonnementen!$G$7:$S$156,13,FALSE),"-")</f>
        <v>2360</v>
      </c>
      <c r="AC74" s="198">
        <f t="shared" si="17"/>
        <v>720</v>
      </c>
      <c r="AD74" s="198">
        <f t="shared" si="25"/>
        <v>50.399999999999977</v>
      </c>
      <c r="AE74" s="198">
        <f t="shared" si="26"/>
        <v>484</v>
      </c>
      <c r="AF74" s="198">
        <f t="shared" si="27"/>
        <v>-236</v>
      </c>
      <c r="AH74" s="198">
        <f t="shared" si="28"/>
        <v>669.6</v>
      </c>
      <c r="AI74" s="198">
        <f t="shared" si="29"/>
        <v>185.60000000000002</v>
      </c>
      <c r="AJ74" s="198">
        <f t="shared" si="30"/>
        <v>669.6</v>
      </c>
      <c r="AK74" s="198">
        <f t="shared" si="31"/>
        <v>0</v>
      </c>
      <c r="AL74" s="179"/>
      <c r="AM74" s="175"/>
      <c r="AN74" s="175"/>
      <c r="AX74" s="181"/>
      <c r="AY74" s="181"/>
      <c r="BA74" s="181">
        <v>3.3</v>
      </c>
    </row>
    <row r="75" spans="2:53" ht="12" customHeight="1">
      <c r="B75" s="110">
        <v>65</v>
      </c>
      <c r="C75" s="102">
        <f>NMBS_flexabo!$C69*$AR$15</f>
        <v>1926</v>
      </c>
      <c r="D75" s="102">
        <f>NMBS_flexabo!$D69*$AR$22</f>
        <v>1705</v>
      </c>
      <c r="E75" s="102">
        <f>NMBS_flexabo!$E69*VLOOKUP($B$5,$AS$43:$AY$43,7,FALSE)</f>
        <v>1829.2500000000002</v>
      </c>
      <c r="F75" s="102">
        <f>NMBS_flexabo!$F69*VLOOKUP($B$5,$AS$45:$AY$48,7,FALSE)</f>
        <v>1792</v>
      </c>
      <c r="G75" s="104">
        <f>IFERROR(VLOOKUP($B75,NMBS_abonnementen!$G$7:$H$156,2,FALSE),"-")*VLOOKUP($B$5,NMBS_halftijds!$P$4:$Q$44,2)</f>
        <v>1819.5840000000001</v>
      </c>
      <c r="H75" s="104">
        <f>IFERROR(VLOOKUP($B75,NMBS_abonnementen!$G$7:$I$156,3,FALSE)*$BB$22,"-")</f>
        <v>2628</v>
      </c>
      <c r="I75" s="104">
        <f>IFERROR(VLOOKUP($B75,NMBS_abonnementen!$G$7:$M$156,7,FALSE)*$BB$23,"-")</f>
        <v>2448</v>
      </c>
      <c r="J75" s="104" t="str">
        <f>IFERROR(VLOOKUP($B75,NMBS_abonnementen!$G$7:$Q$156,11,FALSE),"-")</f>
        <v xml:space="preserve"> 2185,00</v>
      </c>
      <c r="K75" s="104">
        <f>VLOOKUP($B75,NMBS_ticketten!$G$6:$I$155,3,FALSE)*$B$5*$E$5</f>
        <v>2462.4</v>
      </c>
      <c r="L75" s="101" t="str">
        <f t="shared" ref="L75:L138" si="32">IFERROR($BE$45-VLOOKUP($I$5,$BB$46:$BD$47,3),"")</f>
        <v/>
      </c>
      <c r="M75" s="101">
        <f t="shared" ref="M75:M138" si="33">$BE$29-VLOOKUP($I$5,$BA$30:$BC$31,3)</f>
        <v>2203.2000000000003</v>
      </c>
      <c r="N75" s="103">
        <f t="shared" ref="N75:N138" si="34">$BE$38</f>
        <v>669.6</v>
      </c>
      <c r="O75" s="174"/>
      <c r="P75" s="269">
        <f t="shared" ref="P75:P106" si="35">MIN(C75:M75)</f>
        <v>1705</v>
      </c>
      <c r="Q75" s="271">
        <f t="shared" ref="Q75:Q106" si="36">P75</f>
        <v>1705</v>
      </c>
      <c r="R75" s="208">
        <f>IFERROR(VLOOKUP($B75,NMBS_abonnementen!$G$7:$J$156,4,FALSE)*$CS$11,"-")</f>
        <v>3168</v>
      </c>
      <c r="S75" s="209">
        <f t="shared" ref="S75:S106" si="37">R75-$Q75</f>
        <v>1463</v>
      </c>
      <c r="T75" s="208">
        <f>IFERROR(VLOOKUP($B75,NMBS_abonnementen!$G$7:$N$156,8,FALSE)*$CS$12,"-")</f>
        <v>2920</v>
      </c>
      <c r="U75" s="209">
        <f t="shared" ref="U75:U106" si="38">T75-$Q75</f>
        <v>1215</v>
      </c>
      <c r="V75" s="210">
        <f>IFERROR(VLOOKUP($B75,NMBS_abonnementen!$G$7:$R$156,12,FALSE)*$CS$13,"-")</f>
        <v>2484</v>
      </c>
      <c r="W75" s="209">
        <f t="shared" ref="W75:W106" si="39">V75-$Q75</f>
        <v>779</v>
      </c>
      <c r="X75" s="208">
        <f>IFERROR(VLOOKUP($B75,NMBS_abonnementen!$G$7:$K$156,5,FALSE)*$CS$18,"-")</f>
        <v>2976</v>
      </c>
      <c r="Y75" s="209">
        <f t="shared" ref="Y75:Y106" si="40">X75-$Q75</f>
        <v>1271</v>
      </c>
      <c r="Z75" s="208">
        <f>IFERROR(VLOOKUP($B75,NMBS_abonnementen!$G$7:$O$156,9,FALSE)*$CS$19,"-")</f>
        <v>2716</v>
      </c>
      <c r="AA75" s="209">
        <f t="shared" ref="AA75:AA106" si="41">Z75-$Q75</f>
        <v>1011</v>
      </c>
      <c r="AB75" s="210">
        <f>IFERROR(VLOOKUP($B75,NMBS_abonnementen!$G$7:$S$156,13,FALSE),"-")</f>
        <v>2360</v>
      </c>
      <c r="AC75" s="198">
        <f t="shared" si="17"/>
        <v>720</v>
      </c>
      <c r="AD75" s="198">
        <f t="shared" ref="AD75:AD106" si="42">AC75-N75</f>
        <v>50.399999999999977</v>
      </c>
      <c r="AE75" s="198">
        <f t="shared" ref="AE75:AE106" si="43">$BI$13</f>
        <v>484</v>
      </c>
      <c r="AF75" s="198">
        <f t="shared" ref="AF75:AF106" si="44">AE75-AC75</f>
        <v>-236</v>
      </c>
      <c r="AH75" s="198">
        <f t="shared" ref="AH75:AH106" si="45">$BE$38</f>
        <v>669.6</v>
      </c>
      <c r="AI75" s="198">
        <f t="shared" ref="AI75:AI106" si="46">AH75-AE75</f>
        <v>185.60000000000002</v>
      </c>
      <c r="AJ75" s="198">
        <f t="shared" ref="AJ75:AJ106" si="47">$BE$38</f>
        <v>669.6</v>
      </c>
      <c r="AK75" s="198">
        <f t="shared" ref="AK75:AK106" si="48">AJ75-AH75</f>
        <v>0</v>
      </c>
      <c r="AL75" s="179"/>
      <c r="AM75" s="175"/>
      <c r="AN75" s="175"/>
      <c r="AX75" s="181"/>
      <c r="AY75" s="181"/>
      <c r="BA75" s="181">
        <v>3.4</v>
      </c>
    </row>
    <row r="76" spans="2:53" ht="12" customHeight="1">
      <c r="B76" s="110">
        <v>66</v>
      </c>
      <c r="C76" s="102">
        <f>NMBS_flexabo!$C70*$AR$15</f>
        <v>2016</v>
      </c>
      <c r="D76" s="102">
        <f>NMBS_flexabo!$D70*$AR$22</f>
        <v>1782</v>
      </c>
      <c r="E76" s="102">
        <f>NMBS_flexabo!$E70*VLOOKUP($B$5,$AS$43:$AY$43,7,FALSE)</f>
        <v>1911.6000000000001</v>
      </c>
      <c r="F76" s="102">
        <f>NMBS_flexabo!$F70*VLOOKUP($B$5,$AS$45:$AY$48,7,FALSE)</f>
        <v>1873</v>
      </c>
      <c r="G76" s="104">
        <f>IFERROR(VLOOKUP($B76,NMBS_abonnementen!$G$7:$H$156,2,FALSE),"-")*VLOOKUP($B$5,NMBS_halftijds!$P$4:$Q$44,2)</f>
        <v>1892.3673600000002</v>
      </c>
      <c r="H76" s="104">
        <f>IFERROR(VLOOKUP($B76,NMBS_abonnementen!$G$7:$I$156,3,FALSE)*$BB$22,"-")</f>
        <v>2736</v>
      </c>
      <c r="I76" s="104">
        <f>IFERROR(VLOOKUP($B76,NMBS_abonnementen!$G$7:$M$156,7,FALSE)*$BB$23,"-")</f>
        <v>2556</v>
      </c>
      <c r="J76" s="104" t="str">
        <f>IFERROR(VLOOKUP($B76,NMBS_abonnementen!$G$7:$Q$156,11,FALSE),"-")</f>
        <v xml:space="preserve"> 2284,00</v>
      </c>
      <c r="K76" s="104">
        <f>VLOOKUP($B76,NMBS_ticketten!$G$6:$I$155,3,FALSE)*$B$5*$E$5</f>
        <v>2635.2</v>
      </c>
      <c r="L76" s="101" t="str">
        <f t="shared" si="32"/>
        <v/>
      </c>
      <c r="M76" s="101">
        <f t="shared" si="33"/>
        <v>2203.2000000000003</v>
      </c>
      <c r="N76" s="103">
        <f t="shared" si="34"/>
        <v>669.6</v>
      </c>
      <c r="O76" s="174"/>
      <c r="P76" s="269">
        <f t="shared" si="35"/>
        <v>1782</v>
      </c>
      <c r="Q76" s="271">
        <f t="shared" si="36"/>
        <v>1782</v>
      </c>
      <c r="R76" s="208">
        <f>IFERROR(VLOOKUP($B76,NMBS_abonnementen!$G$7:$J$156,4,FALSE)*$CS$11,"-")</f>
        <v>3276</v>
      </c>
      <c r="S76" s="209">
        <f t="shared" si="37"/>
        <v>1494</v>
      </c>
      <c r="T76" s="208">
        <f>IFERROR(VLOOKUP($B76,NMBS_abonnementen!$G$7:$N$156,8,FALSE)*$CS$12,"-")</f>
        <v>3028</v>
      </c>
      <c r="U76" s="209">
        <f t="shared" si="38"/>
        <v>1246</v>
      </c>
      <c r="V76" s="210">
        <f>IFERROR(VLOOKUP($B76,NMBS_abonnementen!$G$7:$R$156,12,FALSE)*$CS$13,"-")</f>
        <v>2583</v>
      </c>
      <c r="W76" s="209">
        <f t="shared" si="39"/>
        <v>801</v>
      </c>
      <c r="X76" s="208">
        <f>IFERROR(VLOOKUP($B76,NMBS_abonnementen!$G$7:$K$156,5,FALSE)*$CS$18,"-")</f>
        <v>3084</v>
      </c>
      <c r="Y76" s="209">
        <f t="shared" si="40"/>
        <v>1302</v>
      </c>
      <c r="Z76" s="208">
        <f>IFERROR(VLOOKUP($B76,NMBS_abonnementen!$G$7:$O$156,9,FALSE)*$CS$19,"-")</f>
        <v>2824</v>
      </c>
      <c r="AA76" s="209">
        <f t="shared" si="41"/>
        <v>1042</v>
      </c>
      <c r="AB76" s="210">
        <f>IFERROR(VLOOKUP($B76,NMBS_abonnementen!$G$7:$S$156,13,FALSE),"-")</f>
        <v>2459</v>
      </c>
      <c r="AC76" s="198">
        <f t="shared" ref="AC76:AC107" si="49">$BI$12</f>
        <v>720</v>
      </c>
      <c r="AD76" s="198">
        <f t="shared" si="42"/>
        <v>50.399999999999977</v>
      </c>
      <c r="AE76" s="198">
        <f t="shared" si="43"/>
        <v>484</v>
      </c>
      <c r="AF76" s="198">
        <f t="shared" si="44"/>
        <v>-236</v>
      </c>
      <c r="AH76" s="198">
        <f t="shared" si="45"/>
        <v>669.6</v>
      </c>
      <c r="AI76" s="198">
        <f t="shared" si="46"/>
        <v>185.60000000000002</v>
      </c>
      <c r="AJ76" s="198">
        <f t="shared" si="47"/>
        <v>669.6</v>
      </c>
      <c r="AK76" s="198">
        <f t="shared" si="48"/>
        <v>0</v>
      </c>
      <c r="AL76" s="179"/>
      <c r="AM76" s="175"/>
      <c r="AN76" s="175"/>
      <c r="AX76" s="181"/>
      <c r="AY76" s="181"/>
      <c r="BA76" s="181">
        <v>3.5</v>
      </c>
    </row>
    <row r="77" spans="2:53" ht="12" customHeight="1">
      <c r="B77" s="110">
        <v>67</v>
      </c>
      <c r="C77" s="102">
        <f>NMBS_flexabo!$C71*$AR$15</f>
        <v>2016</v>
      </c>
      <c r="D77" s="102">
        <f>NMBS_flexabo!$D71*$AR$22</f>
        <v>1782</v>
      </c>
      <c r="E77" s="102">
        <f>NMBS_flexabo!$E71*VLOOKUP($B$5,$AS$43:$AY$43,7,FALSE)</f>
        <v>1911.6000000000001</v>
      </c>
      <c r="F77" s="102">
        <f>NMBS_flexabo!$F71*VLOOKUP($B$5,$AS$45:$AY$48,7,FALSE)</f>
        <v>1873</v>
      </c>
      <c r="G77" s="104">
        <f>IFERROR(VLOOKUP($B77,NMBS_abonnementen!$G$7:$H$156,2,FALSE),"-")*VLOOKUP($B$5,NMBS_halftijds!$P$4:$Q$44,2)</f>
        <v>1892.3673600000002</v>
      </c>
      <c r="H77" s="104">
        <f>IFERROR(VLOOKUP($B77,NMBS_abonnementen!$G$7:$I$156,3,FALSE)*$BB$22,"-")</f>
        <v>2736</v>
      </c>
      <c r="I77" s="104">
        <f>IFERROR(VLOOKUP($B77,NMBS_abonnementen!$G$7:$M$156,7,FALSE)*$BB$23,"-")</f>
        <v>2556</v>
      </c>
      <c r="J77" s="104" t="str">
        <f>IFERROR(VLOOKUP($B77,NMBS_abonnementen!$G$7:$Q$156,11,FALSE),"-")</f>
        <v xml:space="preserve"> 2284,00</v>
      </c>
      <c r="K77" s="104">
        <f>VLOOKUP($B77,NMBS_ticketten!$G$6:$I$155,3,FALSE)*$B$5*$E$5</f>
        <v>2635.2</v>
      </c>
      <c r="L77" s="101" t="str">
        <f t="shared" si="32"/>
        <v/>
      </c>
      <c r="M77" s="101">
        <f t="shared" si="33"/>
        <v>2203.2000000000003</v>
      </c>
      <c r="N77" s="103">
        <f t="shared" si="34"/>
        <v>669.6</v>
      </c>
      <c r="O77" s="174"/>
      <c r="P77" s="269">
        <f t="shared" si="35"/>
        <v>1782</v>
      </c>
      <c r="Q77" s="271">
        <f t="shared" si="36"/>
        <v>1782</v>
      </c>
      <c r="R77" s="208">
        <f>IFERROR(VLOOKUP($B77,NMBS_abonnementen!$G$7:$J$156,4,FALSE)*$CS$11,"-")</f>
        <v>3276</v>
      </c>
      <c r="S77" s="209">
        <f t="shared" si="37"/>
        <v>1494</v>
      </c>
      <c r="T77" s="208">
        <f>IFERROR(VLOOKUP($B77,NMBS_abonnementen!$G$7:$N$156,8,FALSE)*$CS$12,"-")</f>
        <v>3028</v>
      </c>
      <c r="U77" s="209">
        <f t="shared" si="38"/>
        <v>1246</v>
      </c>
      <c r="V77" s="210">
        <f>IFERROR(VLOOKUP($B77,NMBS_abonnementen!$G$7:$R$156,12,FALSE)*$CS$13,"-")</f>
        <v>2583</v>
      </c>
      <c r="W77" s="209">
        <f t="shared" si="39"/>
        <v>801</v>
      </c>
      <c r="X77" s="208">
        <f>IFERROR(VLOOKUP($B77,NMBS_abonnementen!$G$7:$K$156,5,FALSE)*$CS$18,"-")</f>
        <v>3084</v>
      </c>
      <c r="Y77" s="209">
        <f t="shared" si="40"/>
        <v>1302</v>
      </c>
      <c r="Z77" s="208">
        <f>IFERROR(VLOOKUP($B77,NMBS_abonnementen!$G$7:$O$156,9,FALSE)*$CS$19,"-")</f>
        <v>2824</v>
      </c>
      <c r="AA77" s="209">
        <f t="shared" si="41"/>
        <v>1042</v>
      </c>
      <c r="AB77" s="210">
        <f>IFERROR(VLOOKUP($B77,NMBS_abonnementen!$G$7:$S$156,13,FALSE),"-")</f>
        <v>2459</v>
      </c>
      <c r="AC77" s="198">
        <f t="shared" si="49"/>
        <v>720</v>
      </c>
      <c r="AD77" s="198">
        <f t="shared" si="42"/>
        <v>50.399999999999977</v>
      </c>
      <c r="AE77" s="198">
        <f t="shared" si="43"/>
        <v>484</v>
      </c>
      <c r="AF77" s="198">
        <f t="shared" si="44"/>
        <v>-236</v>
      </c>
      <c r="AH77" s="198">
        <f t="shared" si="45"/>
        <v>669.6</v>
      </c>
      <c r="AI77" s="198">
        <f t="shared" si="46"/>
        <v>185.60000000000002</v>
      </c>
      <c r="AJ77" s="198">
        <f t="shared" si="47"/>
        <v>669.6</v>
      </c>
      <c r="AK77" s="198">
        <f t="shared" si="48"/>
        <v>0</v>
      </c>
      <c r="AL77" s="179"/>
      <c r="AM77" s="175"/>
      <c r="AN77" s="175"/>
      <c r="AX77" s="181"/>
      <c r="AY77" s="181"/>
      <c r="BA77" s="181">
        <v>3.6</v>
      </c>
    </row>
    <row r="78" spans="2:53" ht="12" customHeight="1">
      <c r="B78" s="110">
        <v>68</v>
      </c>
      <c r="C78" s="102">
        <f>NMBS_flexabo!$C72*$AR$15</f>
        <v>2016</v>
      </c>
      <c r="D78" s="102">
        <f>NMBS_flexabo!$D72*$AR$22</f>
        <v>1782</v>
      </c>
      <c r="E78" s="102">
        <f>NMBS_flexabo!$E72*VLOOKUP($B$5,$AS$43:$AY$43,7,FALSE)</f>
        <v>1911.6000000000001</v>
      </c>
      <c r="F78" s="102">
        <f>NMBS_flexabo!$F72*VLOOKUP($B$5,$AS$45:$AY$48,7,FALSE)</f>
        <v>1873</v>
      </c>
      <c r="G78" s="104">
        <f>IFERROR(VLOOKUP($B78,NMBS_abonnementen!$G$7:$H$156,2,FALSE),"-")*VLOOKUP($B$5,NMBS_halftijds!$P$4:$Q$44,2)</f>
        <v>1892.3673600000002</v>
      </c>
      <c r="H78" s="104">
        <f>IFERROR(VLOOKUP($B78,NMBS_abonnementen!$G$7:$I$156,3,FALSE)*$BB$22,"-")</f>
        <v>2736</v>
      </c>
      <c r="I78" s="104">
        <f>IFERROR(VLOOKUP($B78,NMBS_abonnementen!$G$7:$M$156,7,FALSE)*$BB$23,"-")</f>
        <v>2556</v>
      </c>
      <c r="J78" s="104" t="str">
        <f>IFERROR(VLOOKUP($B78,NMBS_abonnementen!$G$7:$Q$156,11,FALSE),"-")</f>
        <v xml:space="preserve"> 2284,00</v>
      </c>
      <c r="K78" s="104">
        <f>VLOOKUP($B78,NMBS_ticketten!$G$6:$I$155,3,FALSE)*$B$5*$E$5</f>
        <v>2635.2</v>
      </c>
      <c r="L78" s="101" t="str">
        <f t="shared" si="32"/>
        <v/>
      </c>
      <c r="M78" s="101">
        <f t="shared" si="33"/>
        <v>2203.2000000000003</v>
      </c>
      <c r="N78" s="103">
        <f t="shared" si="34"/>
        <v>669.6</v>
      </c>
      <c r="O78" s="174"/>
      <c r="P78" s="269">
        <f t="shared" si="35"/>
        <v>1782</v>
      </c>
      <c r="Q78" s="271">
        <f t="shared" si="36"/>
        <v>1782</v>
      </c>
      <c r="R78" s="208">
        <f>IFERROR(VLOOKUP($B78,NMBS_abonnementen!$G$7:$J$156,4,FALSE)*$CS$11,"-")</f>
        <v>3276</v>
      </c>
      <c r="S78" s="209">
        <f t="shared" si="37"/>
        <v>1494</v>
      </c>
      <c r="T78" s="208">
        <f>IFERROR(VLOOKUP($B78,NMBS_abonnementen!$G$7:$N$156,8,FALSE)*$CS$12,"-")</f>
        <v>3028</v>
      </c>
      <c r="U78" s="209">
        <f t="shared" si="38"/>
        <v>1246</v>
      </c>
      <c r="V78" s="210">
        <f>IFERROR(VLOOKUP($B78,NMBS_abonnementen!$G$7:$R$156,12,FALSE)*$CS$13,"-")</f>
        <v>2583</v>
      </c>
      <c r="W78" s="209">
        <f t="shared" si="39"/>
        <v>801</v>
      </c>
      <c r="X78" s="208">
        <f>IFERROR(VLOOKUP($B78,NMBS_abonnementen!$G$7:$K$156,5,FALSE)*$CS$18,"-")</f>
        <v>3084</v>
      </c>
      <c r="Y78" s="209">
        <f t="shared" si="40"/>
        <v>1302</v>
      </c>
      <c r="Z78" s="208">
        <f>IFERROR(VLOOKUP($B78,NMBS_abonnementen!$G$7:$O$156,9,FALSE)*$CS$19,"-")</f>
        <v>2824</v>
      </c>
      <c r="AA78" s="209">
        <f t="shared" si="41"/>
        <v>1042</v>
      </c>
      <c r="AB78" s="210">
        <f>IFERROR(VLOOKUP($B78,NMBS_abonnementen!$G$7:$S$156,13,FALSE),"-")</f>
        <v>2459</v>
      </c>
      <c r="AC78" s="198">
        <f t="shared" si="49"/>
        <v>720</v>
      </c>
      <c r="AD78" s="198">
        <f t="shared" si="42"/>
        <v>50.399999999999977</v>
      </c>
      <c r="AE78" s="198">
        <f t="shared" si="43"/>
        <v>484</v>
      </c>
      <c r="AF78" s="198">
        <f t="shared" si="44"/>
        <v>-236</v>
      </c>
      <c r="AH78" s="198">
        <f t="shared" si="45"/>
        <v>669.6</v>
      </c>
      <c r="AI78" s="198">
        <f t="shared" si="46"/>
        <v>185.60000000000002</v>
      </c>
      <c r="AJ78" s="198">
        <f t="shared" si="47"/>
        <v>669.6</v>
      </c>
      <c r="AK78" s="198">
        <f t="shared" si="48"/>
        <v>0</v>
      </c>
      <c r="AL78" s="179"/>
      <c r="AM78" s="175"/>
      <c r="AN78" s="175"/>
      <c r="AX78" s="181"/>
      <c r="AY78" s="181"/>
      <c r="BA78" s="181">
        <v>3.7</v>
      </c>
    </row>
    <row r="79" spans="2:53" ht="12" customHeight="1">
      <c r="B79" s="110">
        <v>69</v>
      </c>
      <c r="C79" s="102">
        <f>NMBS_flexabo!$C73*$AR$15</f>
        <v>2016</v>
      </c>
      <c r="D79" s="102">
        <f>NMBS_flexabo!$D73*$AR$22</f>
        <v>1782</v>
      </c>
      <c r="E79" s="102">
        <f>NMBS_flexabo!$E73*VLOOKUP($B$5,$AS$43:$AY$43,7,FALSE)</f>
        <v>1911.6000000000001</v>
      </c>
      <c r="F79" s="102">
        <f>NMBS_flexabo!$F73*VLOOKUP($B$5,$AS$45:$AY$48,7,FALSE)</f>
        <v>1873</v>
      </c>
      <c r="G79" s="104">
        <f>IFERROR(VLOOKUP($B79,NMBS_abonnementen!$G$7:$H$156,2,FALSE),"-")*VLOOKUP($B$5,NMBS_halftijds!$P$4:$Q$44,2)</f>
        <v>1892.3673600000002</v>
      </c>
      <c r="H79" s="104">
        <f>IFERROR(VLOOKUP($B79,NMBS_abonnementen!$G$7:$I$156,3,FALSE)*$BB$22,"-")</f>
        <v>2736</v>
      </c>
      <c r="I79" s="104">
        <f>IFERROR(VLOOKUP($B79,NMBS_abonnementen!$G$7:$M$156,7,FALSE)*$BB$23,"-")</f>
        <v>2556</v>
      </c>
      <c r="J79" s="104" t="str">
        <f>IFERROR(VLOOKUP($B79,NMBS_abonnementen!$G$7:$Q$156,11,FALSE),"-")</f>
        <v xml:space="preserve"> 2284,00</v>
      </c>
      <c r="K79" s="104">
        <f>VLOOKUP($B79,NMBS_ticketten!$G$6:$I$155,3,FALSE)*$B$5*$E$5</f>
        <v>2635.2</v>
      </c>
      <c r="L79" s="101" t="str">
        <f t="shared" si="32"/>
        <v/>
      </c>
      <c r="M79" s="101">
        <f t="shared" si="33"/>
        <v>2203.2000000000003</v>
      </c>
      <c r="N79" s="103">
        <f t="shared" si="34"/>
        <v>669.6</v>
      </c>
      <c r="O79" s="174"/>
      <c r="P79" s="269">
        <f t="shared" si="35"/>
        <v>1782</v>
      </c>
      <c r="Q79" s="271">
        <f t="shared" si="36"/>
        <v>1782</v>
      </c>
      <c r="R79" s="208">
        <f>IFERROR(VLOOKUP($B79,NMBS_abonnementen!$G$7:$J$156,4,FALSE)*$CS$11,"-")</f>
        <v>3276</v>
      </c>
      <c r="S79" s="209">
        <f t="shared" si="37"/>
        <v>1494</v>
      </c>
      <c r="T79" s="208">
        <f>IFERROR(VLOOKUP($B79,NMBS_abonnementen!$G$7:$N$156,8,FALSE)*$CS$12,"-")</f>
        <v>3028</v>
      </c>
      <c r="U79" s="209">
        <f t="shared" si="38"/>
        <v>1246</v>
      </c>
      <c r="V79" s="210">
        <f>IFERROR(VLOOKUP($B79,NMBS_abonnementen!$G$7:$R$156,12,FALSE)*$CS$13,"-")</f>
        <v>2583</v>
      </c>
      <c r="W79" s="209">
        <f t="shared" si="39"/>
        <v>801</v>
      </c>
      <c r="X79" s="208">
        <f>IFERROR(VLOOKUP($B79,NMBS_abonnementen!$G$7:$K$156,5,FALSE)*$CS$18,"-")</f>
        <v>3084</v>
      </c>
      <c r="Y79" s="209">
        <f t="shared" si="40"/>
        <v>1302</v>
      </c>
      <c r="Z79" s="208">
        <f>IFERROR(VLOOKUP($B79,NMBS_abonnementen!$G$7:$O$156,9,FALSE)*$CS$19,"-")</f>
        <v>2824</v>
      </c>
      <c r="AA79" s="209">
        <f t="shared" si="41"/>
        <v>1042</v>
      </c>
      <c r="AB79" s="210">
        <f>IFERROR(VLOOKUP($B79,NMBS_abonnementen!$G$7:$S$156,13,FALSE),"-")</f>
        <v>2459</v>
      </c>
      <c r="AC79" s="198">
        <f t="shared" si="49"/>
        <v>720</v>
      </c>
      <c r="AD79" s="198">
        <f t="shared" si="42"/>
        <v>50.399999999999977</v>
      </c>
      <c r="AE79" s="198">
        <f t="shared" si="43"/>
        <v>484</v>
      </c>
      <c r="AF79" s="198">
        <f t="shared" si="44"/>
        <v>-236</v>
      </c>
      <c r="AH79" s="198">
        <f t="shared" si="45"/>
        <v>669.6</v>
      </c>
      <c r="AI79" s="198">
        <f t="shared" si="46"/>
        <v>185.60000000000002</v>
      </c>
      <c r="AJ79" s="198">
        <f t="shared" si="47"/>
        <v>669.6</v>
      </c>
      <c r="AK79" s="198">
        <f t="shared" si="48"/>
        <v>0</v>
      </c>
      <c r="AL79" s="179"/>
      <c r="AM79" s="175"/>
      <c r="AN79" s="175"/>
      <c r="AX79" s="181"/>
      <c r="AY79" s="181"/>
      <c r="BA79" s="181">
        <v>3.8</v>
      </c>
    </row>
    <row r="80" spans="2:53" ht="12" customHeight="1">
      <c r="B80" s="110">
        <v>70</v>
      </c>
      <c r="C80" s="102">
        <f>NMBS_flexabo!$C74*$AR$15</f>
        <v>2016</v>
      </c>
      <c r="D80" s="102">
        <f>NMBS_flexabo!$D74*$AR$22</f>
        <v>1782</v>
      </c>
      <c r="E80" s="102">
        <f>NMBS_flexabo!$E74*VLOOKUP($B$5,$AS$43:$AY$43,7,FALSE)</f>
        <v>1911.6000000000001</v>
      </c>
      <c r="F80" s="102">
        <f>NMBS_flexabo!$F74*VLOOKUP($B$5,$AS$45:$AY$48,7,FALSE)</f>
        <v>1873</v>
      </c>
      <c r="G80" s="104">
        <f>IFERROR(VLOOKUP($B80,NMBS_abonnementen!$G$7:$H$156,2,FALSE),"-")*VLOOKUP($B$5,NMBS_halftijds!$P$4:$Q$44,2)</f>
        <v>1892.3673600000002</v>
      </c>
      <c r="H80" s="104">
        <f>IFERROR(VLOOKUP($B80,NMBS_abonnementen!$G$7:$I$156,3,FALSE)*$BB$22,"-")</f>
        <v>2736</v>
      </c>
      <c r="I80" s="104">
        <f>IFERROR(VLOOKUP($B80,NMBS_abonnementen!$G$7:$M$156,7,FALSE)*$BB$23,"-")</f>
        <v>2556</v>
      </c>
      <c r="J80" s="104" t="str">
        <f>IFERROR(VLOOKUP($B80,NMBS_abonnementen!$G$7:$Q$156,11,FALSE),"-")</f>
        <v xml:space="preserve"> 2284,00</v>
      </c>
      <c r="K80" s="104">
        <f>VLOOKUP($B80,NMBS_ticketten!$G$6:$I$155,3,FALSE)*$B$5*$E$5</f>
        <v>2635.2</v>
      </c>
      <c r="L80" s="101" t="str">
        <f t="shared" si="32"/>
        <v/>
      </c>
      <c r="M80" s="101">
        <f t="shared" si="33"/>
        <v>2203.2000000000003</v>
      </c>
      <c r="N80" s="103">
        <f t="shared" si="34"/>
        <v>669.6</v>
      </c>
      <c r="O80" s="174"/>
      <c r="P80" s="269">
        <f t="shared" si="35"/>
        <v>1782</v>
      </c>
      <c r="Q80" s="271">
        <f t="shared" si="36"/>
        <v>1782</v>
      </c>
      <c r="R80" s="208">
        <f>IFERROR(VLOOKUP($B80,NMBS_abonnementen!$G$7:$J$156,4,FALSE)*$CS$11,"-")</f>
        <v>3276</v>
      </c>
      <c r="S80" s="209">
        <f t="shared" si="37"/>
        <v>1494</v>
      </c>
      <c r="T80" s="208">
        <f>IFERROR(VLOOKUP($B80,NMBS_abonnementen!$G$7:$N$156,8,FALSE)*$CS$12,"-")</f>
        <v>3028</v>
      </c>
      <c r="U80" s="209">
        <f t="shared" si="38"/>
        <v>1246</v>
      </c>
      <c r="V80" s="210">
        <f>IFERROR(VLOOKUP($B80,NMBS_abonnementen!$G$7:$R$156,12,FALSE)*$CS$13,"-")</f>
        <v>2583</v>
      </c>
      <c r="W80" s="209">
        <f t="shared" si="39"/>
        <v>801</v>
      </c>
      <c r="X80" s="208">
        <f>IFERROR(VLOOKUP($B80,NMBS_abonnementen!$G$7:$K$156,5,FALSE)*$CS$18,"-")</f>
        <v>3084</v>
      </c>
      <c r="Y80" s="209">
        <f t="shared" si="40"/>
        <v>1302</v>
      </c>
      <c r="Z80" s="208">
        <f>IFERROR(VLOOKUP($B80,NMBS_abonnementen!$G$7:$O$156,9,FALSE)*$CS$19,"-")</f>
        <v>2824</v>
      </c>
      <c r="AA80" s="209">
        <f t="shared" si="41"/>
        <v>1042</v>
      </c>
      <c r="AB80" s="210">
        <f>IFERROR(VLOOKUP($B80,NMBS_abonnementen!$G$7:$S$156,13,FALSE),"-")</f>
        <v>2459</v>
      </c>
      <c r="AC80" s="198">
        <f t="shared" si="49"/>
        <v>720</v>
      </c>
      <c r="AD80" s="198">
        <f t="shared" si="42"/>
        <v>50.399999999999977</v>
      </c>
      <c r="AE80" s="198">
        <f t="shared" si="43"/>
        <v>484</v>
      </c>
      <c r="AF80" s="198">
        <f t="shared" si="44"/>
        <v>-236</v>
      </c>
      <c r="AH80" s="198">
        <f t="shared" si="45"/>
        <v>669.6</v>
      </c>
      <c r="AI80" s="198">
        <f t="shared" si="46"/>
        <v>185.60000000000002</v>
      </c>
      <c r="AJ80" s="198">
        <f t="shared" si="47"/>
        <v>669.6</v>
      </c>
      <c r="AK80" s="198">
        <f t="shared" si="48"/>
        <v>0</v>
      </c>
      <c r="AL80" s="179"/>
      <c r="AM80" s="175"/>
      <c r="AN80" s="175"/>
      <c r="AX80" s="181"/>
      <c r="AY80" s="181"/>
      <c r="BA80" s="181">
        <v>3.9</v>
      </c>
    </row>
    <row r="81" spans="2:78" ht="12" customHeight="1">
      <c r="B81" s="110">
        <v>71</v>
      </c>
      <c r="C81" s="102">
        <f>NMBS_flexabo!$C75*$AR$15</f>
        <v>2106</v>
      </c>
      <c r="D81" s="102">
        <f>NMBS_flexabo!$D75*$AR$22</f>
        <v>1859</v>
      </c>
      <c r="E81" s="102">
        <f>NMBS_flexabo!$E75*VLOOKUP($B$5,$AS$43:$AY$43,7,FALSE)</f>
        <v>1993.95</v>
      </c>
      <c r="F81" s="102">
        <f>NMBS_flexabo!$F75*VLOOKUP($B$5,$AS$45:$AY$48,7,FALSE)</f>
        <v>1954</v>
      </c>
      <c r="G81" s="104">
        <f>IFERROR(VLOOKUP($B81,NMBS_abonnementen!$G$7:$H$156,2,FALSE),"-")*VLOOKUP($B$5,NMBS_halftijds!$P$4:$Q$44,2)</f>
        <v>1965.1507200000001</v>
      </c>
      <c r="H81" s="104">
        <f>IFERROR(VLOOKUP($B81,NMBS_abonnementen!$G$7:$I$156,3,FALSE)*$BB$22,"-")</f>
        <v>2856</v>
      </c>
      <c r="I81" s="104">
        <f>IFERROR(VLOOKUP($B81,NMBS_abonnementen!$G$7:$M$156,7,FALSE)*$BB$23,"-")</f>
        <v>2668</v>
      </c>
      <c r="J81" s="104" t="str">
        <f>IFERROR(VLOOKUP($B81,NMBS_abonnementen!$G$7:$Q$156,11,FALSE),"-")</f>
        <v xml:space="preserve"> 2382,00</v>
      </c>
      <c r="K81" s="104">
        <f>VLOOKUP($B81,NMBS_ticketten!$G$6:$I$155,3,FALSE)*$B$5*$E$5</f>
        <v>2808</v>
      </c>
      <c r="L81" s="101" t="str">
        <f t="shared" si="32"/>
        <v/>
      </c>
      <c r="M81" s="101">
        <f t="shared" si="33"/>
        <v>2203.2000000000003</v>
      </c>
      <c r="N81" s="103">
        <f t="shared" si="34"/>
        <v>669.6</v>
      </c>
      <c r="O81" s="174"/>
      <c r="P81" s="269">
        <f t="shared" si="35"/>
        <v>1859</v>
      </c>
      <c r="Q81" s="271">
        <f t="shared" si="36"/>
        <v>1859</v>
      </c>
      <c r="R81" s="208">
        <f>IFERROR(VLOOKUP($B81,NMBS_abonnementen!$G$7:$J$156,4,FALSE)*$CS$11,"-")</f>
        <v>3396</v>
      </c>
      <c r="S81" s="209">
        <f t="shared" si="37"/>
        <v>1537</v>
      </c>
      <c r="T81" s="208">
        <f>IFERROR(VLOOKUP($B81,NMBS_abonnementen!$G$7:$N$156,8,FALSE)*$CS$12,"-")</f>
        <v>3140</v>
      </c>
      <c r="U81" s="209">
        <f t="shared" si="38"/>
        <v>1281</v>
      </c>
      <c r="V81" s="210">
        <f>IFERROR(VLOOKUP($B81,NMBS_abonnementen!$G$7:$R$156,12,FALSE)*$CS$13,"-")</f>
        <v>2681</v>
      </c>
      <c r="W81" s="209">
        <f t="shared" si="39"/>
        <v>822</v>
      </c>
      <c r="X81" s="208">
        <f>IFERROR(VLOOKUP($B81,NMBS_abonnementen!$G$7:$K$156,5,FALSE)*$CS$18,"-")</f>
        <v>3204</v>
      </c>
      <c r="Y81" s="209">
        <f t="shared" si="40"/>
        <v>1345</v>
      </c>
      <c r="Z81" s="208">
        <f>IFERROR(VLOOKUP($B81,NMBS_abonnementen!$G$7:$O$156,9,FALSE)*$CS$19,"-")</f>
        <v>2936</v>
      </c>
      <c r="AA81" s="209">
        <f t="shared" si="41"/>
        <v>1077</v>
      </c>
      <c r="AB81" s="210">
        <f>IFERROR(VLOOKUP($B81,NMBS_abonnementen!$G$7:$S$156,13,FALSE),"-")</f>
        <v>2557</v>
      </c>
      <c r="AC81" s="198">
        <f t="shared" si="49"/>
        <v>720</v>
      </c>
      <c r="AD81" s="198">
        <f t="shared" si="42"/>
        <v>50.399999999999977</v>
      </c>
      <c r="AE81" s="198">
        <f t="shared" si="43"/>
        <v>484</v>
      </c>
      <c r="AF81" s="198">
        <f t="shared" si="44"/>
        <v>-236</v>
      </c>
      <c r="AH81" s="198">
        <f t="shared" si="45"/>
        <v>669.6</v>
      </c>
      <c r="AI81" s="198">
        <f t="shared" si="46"/>
        <v>185.60000000000002</v>
      </c>
      <c r="AJ81" s="198">
        <f t="shared" si="47"/>
        <v>669.6</v>
      </c>
      <c r="AK81" s="198">
        <f t="shared" si="48"/>
        <v>0</v>
      </c>
      <c r="AL81" s="179"/>
      <c r="AM81" s="175"/>
      <c r="AN81" s="175"/>
      <c r="AX81" s="181"/>
      <c r="AY81" s="181"/>
      <c r="BA81" s="181">
        <v>4</v>
      </c>
    </row>
    <row r="82" spans="2:78" ht="12" customHeight="1">
      <c r="B82" s="110">
        <v>72</v>
      </c>
      <c r="C82" s="102">
        <f>NMBS_flexabo!$C76*$AR$15</f>
        <v>2106</v>
      </c>
      <c r="D82" s="102">
        <f>NMBS_flexabo!$D76*$AR$22</f>
        <v>1859</v>
      </c>
      <c r="E82" s="102">
        <f>NMBS_flexabo!$E76*VLOOKUP($B$5,$AS$43:$AY$43,7,FALSE)</f>
        <v>1993.95</v>
      </c>
      <c r="F82" s="102">
        <f>NMBS_flexabo!$F76*VLOOKUP($B$5,$AS$45:$AY$48,7,FALSE)</f>
        <v>1954</v>
      </c>
      <c r="G82" s="104">
        <f>IFERROR(VLOOKUP($B82,NMBS_abonnementen!$G$7:$H$156,2,FALSE),"-")*VLOOKUP($B$5,NMBS_halftijds!$P$4:$Q$44,2)</f>
        <v>1965.1507200000001</v>
      </c>
      <c r="H82" s="104">
        <f>IFERROR(VLOOKUP($B82,NMBS_abonnementen!$G$7:$I$156,3,FALSE)*$BB$22,"-")</f>
        <v>2856</v>
      </c>
      <c r="I82" s="104">
        <f>IFERROR(VLOOKUP($B82,NMBS_abonnementen!$G$7:$M$156,7,FALSE)*$BB$23,"-")</f>
        <v>2668</v>
      </c>
      <c r="J82" s="104" t="str">
        <f>IFERROR(VLOOKUP($B82,NMBS_abonnementen!$G$7:$Q$156,11,FALSE),"-")</f>
        <v xml:space="preserve"> 2382,00</v>
      </c>
      <c r="K82" s="104">
        <f>VLOOKUP($B82,NMBS_ticketten!$G$6:$I$155,3,FALSE)*$B$5*$E$5</f>
        <v>2808</v>
      </c>
      <c r="L82" s="101" t="str">
        <f t="shared" si="32"/>
        <v/>
      </c>
      <c r="M82" s="101">
        <f t="shared" si="33"/>
        <v>2203.2000000000003</v>
      </c>
      <c r="N82" s="103">
        <f t="shared" si="34"/>
        <v>669.6</v>
      </c>
      <c r="O82" s="174"/>
      <c r="P82" s="269">
        <f t="shared" si="35"/>
        <v>1859</v>
      </c>
      <c r="Q82" s="271">
        <f t="shared" si="36"/>
        <v>1859</v>
      </c>
      <c r="R82" s="208">
        <f>IFERROR(VLOOKUP($B82,NMBS_abonnementen!$G$7:$J$156,4,FALSE)*$CS$11,"-")</f>
        <v>3396</v>
      </c>
      <c r="S82" s="209">
        <f t="shared" si="37"/>
        <v>1537</v>
      </c>
      <c r="T82" s="208">
        <f>IFERROR(VLOOKUP($B82,NMBS_abonnementen!$G$7:$N$156,8,FALSE)*$CS$12,"-")</f>
        <v>3140</v>
      </c>
      <c r="U82" s="209">
        <f t="shared" si="38"/>
        <v>1281</v>
      </c>
      <c r="V82" s="210">
        <f>IFERROR(VLOOKUP($B82,NMBS_abonnementen!$G$7:$R$156,12,FALSE)*$CS$13,"-")</f>
        <v>2681</v>
      </c>
      <c r="W82" s="209">
        <f t="shared" si="39"/>
        <v>822</v>
      </c>
      <c r="X82" s="208">
        <f>IFERROR(VLOOKUP($B82,NMBS_abonnementen!$G$7:$K$156,5,FALSE)*$CS$18,"-")</f>
        <v>3204</v>
      </c>
      <c r="Y82" s="209">
        <f t="shared" si="40"/>
        <v>1345</v>
      </c>
      <c r="Z82" s="208">
        <f>IFERROR(VLOOKUP($B82,NMBS_abonnementen!$G$7:$O$156,9,FALSE)*$CS$19,"-")</f>
        <v>2936</v>
      </c>
      <c r="AA82" s="209">
        <f t="shared" si="41"/>
        <v>1077</v>
      </c>
      <c r="AB82" s="210">
        <f>IFERROR(VLOOKUP($B82,NMBS_abonnementen!$G$7:$S$156,13,FALSE),"-")</f>
        <v>2557</v>
      </c>
      <c r="AC82" s="198">
        <f t="shared" si="49"/>
        <v>720</v>
      </c>
      <c r="AD82" s="198">
        <f t="shared" si="42"/>
        <v>50.399999999999977</v>
      </c>
      <c r="AE82" s="198">
        <f t="shared" si="43"/>
        <v>484</v>
      </c>
      <c r="AF82" s="198">
        <f t="shared" si="44"/>
        <v>-236</v>
      </c>
      <c r="AH82" s="198">
        <f t="shared" si="45"/>
        <v>669.6</v>
      </c>
      <c r="AI82" s="198">
        <f t="shared" si="46"/>
        <v>185.60000000000002</v>
      </c>
      <c r="AJ82" s="198">
        <f t="shared" si="47"/>
        <v>669.6</v>
      </c>
      <c r="AK82" s="198">
        <f t="shared" si="48"/>
        <v>0</v>
      </c>
      <c r="AL82" s="179"/>
      <c r="AM82" s="175"/>
      <c r="AN82" s="175"/>
      <c r="AX82" s="181"/>
      <c r="AY82" s="181"/>
      <c r="BA82" s="181">
        <v>4.0999999999999996</v>
      </c>
    </row>
    <row r="83" spans="2:78" ht="12" customHeight="1">
      <c r="B83" s="110">
        <v>73</v>
      </c>
      <c r="C83" s="102">
        <f>NMBS_flexabo!$C77*$AR$15</f>
        <v>2106</v>
      </c>
      <c r="D83" s="102">
        <f>NMBS_flexabo!$D77*$AR$22</f>
        <v>1859</v>
      </c>
      <c r="E83" s="102">
        <f>NMBS_flexabo!$E77*VLOOKUP($B$5,$AS$43:$AY$43,7,FALSE)</f>
        <v>1993.95</v>
      </c>
      <c r="F83" s="102">
        <f>NMBS_flexabo!$F77*VLOOKUP($B$5,$AS$45:$AY$48,7,FALSE)</f>
        <v>1954</v>
      </c>
      <c r="G83" s="104">
        <f>IFERROR(VLOOKUP($B83,NMBS_abonnementen!$G$7:$H$156,2,FALSE),"-")*VLOOKUP($B$5,NMBS_halftijds!$P$4:$Q$44,2)</f>
        <v>1965.1507200000001</v>
      </c>
      <c r="H83" s="104">
        <f>IFERROR(VLOOKUP($B83,NMBS_abonnementen!$G$7:$I$156,3,FALSE)*$BB$22,"-")</f>
        <v>2856</v>
      </c>
      <c r="I83" s="104">
        <f>IFERROR(VLOOKUP($B83,NMBS_abonnementen!$G$7:$M$156,7,FALSE)*$BB$23,"-")</f>
        <v>2668</v>
      </c>
      <c r="J83" s="104" t="str">
        <f>IFERROR(VLOOKUP($B83,NMBS_abonnementen!$G$7:$Q$156,11,FALSE),"-")</f>
        <v xml:space="preserve"> 2382,00</v>
      </c>
      <c r="K83" s="104">
        <f>VLOOKUP($B83,NMBS_ticketten!$G$6:$I$155,3,FALSE)*$B$5*$E$5</f>
        <v>2808</v>
      </c>
      <c r="L83" s="101" t="str">
        <f t="shared" si="32"/>
        <v/>
      </c>
      <c r="M83" s="101">
        <f t="shared" si="33"/>
        <v>2203.2000000000003</v>
      </c>
      <c r="N83" s="103">
        <f t="shared" si="34"/>
        <v>669.6</v>
      </c>
      <c r="O83" s="174"/>
      <c r="P83" s="269">
        <f t="shared" si="35"/>
        <v>1859</v>
      </c>
      <c r="Q83" s="271">
        <f t="shared" si="36"/>
        <v>1859</v>
      </c>
      <c r="R83" s="208">
        <f>IFERROR(VLOOKUP($B83,NMBS_abonnementen!$G$7:$J$156,4,FALSE)*$CS$11,"-")</f>
        <v>3396</v>
      </c>
      <c r="S83" s="209">
        <f t="shared" si="37"/>
        <v>1537</v>
      </c>
      <c r="T83" s="208">
        <f>IFERROR(VLOOKUP($B83,NMBS_abonnementen!$G$7:$N$156,8,FALSE)*$CS$12,"-")</f>
        <v>3140</v>
      </c>
      <c r="U83" s="209">
        <f t="shared" si="38"/>
        <v>1281</v>
      </c>
      <c r="V83" s="210">
        <f>IFERROR(VLOOKUP($B83,NMBS_abonnementen!$G$7:$R$156,12,FALSE)*$CS$13,"-")</f>
        <v>2681</v>
      </c>
      <c r="W83" s="209">
        <f t="shared" si="39"/>
        <v>822</v>
      </c>
      <c r="X83" s="208">
        <f>IFERROR(VLOOKUP($B83,NMBS_abonnementen!$G$7:$K$156,5,FALSE)*$CS$18,"-")</f>
        <v>3204</v>
      </c>
      <c r="Y83" s="209">
        <f t="shared" si="40"/>
        <v>1345</v>
      </c>
      <c r="Z83" s="208">
        <f>IFERROR(VLOOKUP($B83,NMBS_abonnementen!$G$7:$O$156,9,FALSE)*$CS$19,"-")</f>
        <v>2936</v>
      </c>
      <c r="AA83" s="209">
        <f t="shared" si="41"/>
        <v>1077</v>
      </c>
      <c r="AB83" s="210">
        <f>IFERROR(VLOOKUP($B83,NMBS_abonnementen!$G$7:$S$156,13,FALSE),"-")</f>
        <v>2557</v>
      </c>
      <c r="AC83" s="198">
        <f t="shared" si="49"/>
        <v>720</v>
      </c>
      <c r="AD83" s="198">
        <f t="shared" si="42"/>
        <v>50.399999999999977</v>
      </c>
      <c r="AE83" s="198">
        <f t="shared" si="43"/>
        <v>484</v>
      </c>
      <c r="AF83" s="198">
        <f t="shared" si="44"/>
        <v>-236</v>
      </c>
      <c r="AH83" s="198">
        <f t="shared" si="45"/>
        <v>669.6</v>
      </c>
      <c r="AI83" s="198">
        <f t="shared" si="46"/>
        <v>185.60000000000002</v>
      </c>
      <c r="AJ83" s="198">
        <f t="shared" si="47"/>
        <v>669.6</v>
      </c>
      <c r="AK83" s="198">
        <f t="shared" si="48"/>
        <v>0</v>
      </c>
      <c r="AL83" s="179"/>
      <c r="AM83" s="175"/>
      <c r="AN83" s="175"/>
      <c r="AX83" s="181"/>
      <c r="AY83" s="181"/>
      <c r="BA83" s="181">
        <v>4.2</v>
      </c>
    </row>
    <row r="84" spans="2:78" ht="12" customHeight="1">
      <c r="B84" s="110">
        <v>74</v>
      </c>
      <c r="C84" s="102">
        <f>NMBS_flexabo!$C78*$AR$15</f>
        <v>2106</v>
      </c>
      <c r="D84" s="102">
        <f>NMBS_flexabo!$D78*$AR$22</f>
        <v>1859</v>
      </c>
      <c r="E84" s="102">
        <f>NMBS_flexabo!$E78*VLOOKUP($B$5,$AS$43:$AY$43,7,FALSE)</f>
        <v>1993.95</v>
      </c>
      <c r="F84" s="102">
        <f>NMBS_flexabo!$F78*VLOOKUP($B$5,$AS$45:$AY$48,7,FALSE)</f>
        <v>1954</v>
      </c>
      <c r="G84" s="104">
        <f>IFERROR(VLOOKUP($B84,NMBS_abonnementen!$G$7:$H$156,2,FALSE),"-")*VLOOKUP($B$5,NMBS_halftijds!$P$4:$Q$44,2)</f>
        <v>1965.1507200000001</v>
      </c>
      <c r="H84" s="104">
        <f>IFERROR(VLOOKUP($B84,NMBS_abonnementen!$G$7:$I$156,3,FALSE)*$BB$22,"-")</f>
        <v>2856</v>
      </c>
      <c r="I84" s="104">
        <f>IFERROR(VLOOKUP($B84,NMBS_abonnementen!$G$7:$M$156,7,FALSE)*$BB$23,"-")</f>
        <v>2668</v>
      </c>
      <c r="J84" s="104" t="str">
        <f>IFERROR(VLOOKUP($B84,NMBS_abonnementen!$G$7:$Q$156,11,FALSE),"-")</f>
        <v xml:space="preserve"> 2382,00</v>
      </c>
      <c r="K84" s="104">
        <f>VLOOKUP($B84,NMBS_ticketten!$G$6:$I$155,3,FALSE)*$B$5*$E$5</f>
        <v>2808</v>
      </c>
      <c r="L84" s="101" t="str">
        <f t="shared" si="32"/>
        <v/>
      </c>
      <c r="M84" s="101">
        <f t="shared" si="33"/>
        <v>2203.2000000000003</v>
      </c>
      <c r="N84" s="103">
        <f t="shared" si="34"/>
        <v>669.6</v>
      </c>
      <c r="O84" s="174"/>
      <c r="P84" s="269">
        <f t="shared" si="35"/>
        <v>1859</v>
      </c>
      <c r="Q84" s="271">
        <f t="shared" si="36"/>
        <v>1859</v>
      </c>
      <c r="R84" s="208">
        <f>IFERROR(VLOOKUP($B84,NMBS_abonnementen!$G$7:$J$156,4,FALSE)*$CS$11,"-")</f>
        <v>3396</v>
      </c>
      <c r="S84" s="209">
        <f t="shared" si="37"/>
        <v>1537</v>
      </c>
      <c r="T84" s="208">
        <f>IFERROR(VLOOKUP($B84,NMBS_abonnementen!$G$7:$N$156,8,FALSE)*$CS$12,"-")</f>
        <v>3140</v>
      </c>
      <c r="U84" s="209">
        <f t="shared" si="38"/>
        <v>1281</v>
      </c>
      <c r="V84" s="210">
        <f>IFERROR(VLOOKUP($B84,NMBS_abonnementen!$G$7:$R$156,12,FALSE)*$CS$13,"-")</f>
        <v>2681</v>
      </c>
      <c r="W84" s="209">
        <f t="shared" si="39"/>
        <v>822</v>
      </c>
      <c r="X84" s="208">
        <f>IFERROR(VLOOKUP($B84,NMBS_abonnementen!$G$7:$K$156,5,FALSE)*$CS$18,"-")</f>
        <v>3204</v>
      </c>
      <c r="Y84" s="209">
        <f t="shared" si="40"/>
        <v>1345</v>
      </c>
      <c r="Z84" s="208">
        <f>IFERROR(VLOOKUP($B84,NMBS_abonnementen!$G$7:$O$156,9,FALSE)*$CS$19,"-")</f>
        <v>2936</v>
      </c>
      <c r="AA84" s="209">
        <f t="shared" si="41"/>
        <v>1077</v>
      </c>
      <c r="AB84" s="210">
        <f>IFERROR(VLOOKUP($B84,NMBS_abonnementen!$G$7:$S$156,13,FALSE),"-")</f>
        <v>2557</v>
      </c>
      <c r="AC84" s="198">
        <f t="shared" si="49"/>
        <v>720</v>
      </c>
      <c r="AD84" s="198">
        <f t="shared" si="42"/>
        <v>50.399999999999977</v>
      </c>
      <c r="AE84" s="198">
        <f t="shared" si="43"/>
        <v>484</v>
      </c>
      <c r="AF84" s="198">
        <f t="shared" si="44"/>
        <v>-236</v>
      </c>
      <c r="AH84" s="198">
        <f t="shared" si="45"/>
        <v>669.6</v>
      </c>
      <c r="AI84" s="198">
        <f t="shared" si="46"/>
        <v>185.60000000000002</v>
      </c>
      <c r="AJ84" s="198">
        <f t="shared" si="47"/>
        <v>669.6</v>
      </c>
      <c r="AK84" s="198">
        <f t="shared" si="48"/>
        <v>0</v>
      </c>
      <c r="AL84" s="179"/>
      <c r="AM84" s="175"/>
      <c r="AN84" s="175"/>
      <c r="AX84" s="181"/>
      <c r="AY84" s="181"/>
      <c r="BA84" s="181">
        <v>4.3</v>
      </c>
    </row>
    <row r="85" spans="2:78" ht="12" customHeight="1">
      <c r="B85" s="110">
        <v>75</v>
      </c>
      <c r="C85" s="102">
        <f>NMBS_flexabo!$C79*$AR$15</f>
        <v>2106</v>
      </c>
      <c r="D85" s="102">
        <f>NMBS_flexabo!$D79*$AR$22</f>
        <v>1859</v>
      </c>
      <c r="E85" s="102">
        <f>NMBS_flexabo!$E79*VLOOKUP($B$5,$AS$43:$AY$43,7,FALSE)</f>
        <v>1993.95</v>
      </c>
      <c r="F85" s="102">
        <f>NMBS_flexabo!$F79*VLOOKUP($B$5,$AS$45:$AY$48,7,FALSE)</f>
        <v>1954</v>
      </c>
      <c r="G85" s="104">
        <f>IFERROR(VLOOKUP($B85,NMBS_abonnementen!$G$7:$H$156,2,FALSE),"-")*VLOOKUP($B$5,NMBS_halftijds!$P$4:$Q$44,2)</f>
        <v>1965.1507200000001</v>
      </c>
      <c r="H85" s="104">
        <f>IFERROR(VLOOKUP($B85,NMBS_abonnementen!$G$7:$I$156,3,FALSE)*$BB$22,"-")</f>
        <v>2856</v>
      </c>
      <c r="I85" s="104">
        <f>IFERROR(VLOOKUP($B85,NMBS_abonnementen!$G$7:$M$156,7,FALSE)*$BB$23,"-")</f>
        <v>2668</v>
      </c>
      <c r="J85" s="104" t="str">
        <f>IFERROR(VLOOKUP($B85,NMBS_abonnementen!$G$7:$Q$156,11,FALSE),"-")</f>
        <v xml:space="preserve"> 2382,00</v>
      </c>
      <c r="K85" s="104">
        <f>VLOOKUP($B85,NMBS_ticketten!$G$6:$I$155,3,FALSE)*$B$5*$E$5</f>
        <v>2808</v>
      </c>
      <c r="L85" s="101" t="str">
        <f t="shared" si="32"/>
        <v/>
      </c>
      <c r="M85" s="101">
        <f t="shared" si="33"/>
        <v>2203.2000000000003</v>
      </c>
      <c r="N85" s="103">
        <f t="shared" si="34"/>
        <v>669.6</v>
      </c>
      <c r="O85" s="174"/>
      <c r="P85" s="269">
        <f t="shared" si="35"/>
        <v>1859</v>
      </c>
      <c r="Q85" s="271">
        <f t="shared" si="36"/>
        <v>1859</v>
      </c>
      <c r="R85" s="208">
        <f>IFERROR(VLOOKUP($B85,NMBS_abonnementen!$G$7:$J$156,4,FALSE)*$CS$11,"-")</f>
        <v>3396</v>
      </c>
      <c r="S85" s="209">
        <f t="shared" si="37"/>
        <v>1537</v>
      </c>
      <c r="T85" s="208">
        <f>IFERROR(VLOOKUP($B85,NMBS_abonnementen!$G$7:$N$156,8,FALSE)*$CS$12,"-")</f>
        <v>3140</v>
      </c>
      <c r="U85" s="209">
        <f t="shared" si="38"/>
        <v>1281</v>
      </c>
      <c r="V85" s="210">
        <f>IFERROR(VLOOKUP($B85,NMBS_abonnementen!$G$7:$R$156,12,FALSE)*$CS$13,"-")</f>
        <v>2681</v>
      </c>
      <c r="W85" s="209">
        <f t="shared" si="39"/>
        <v>822</v>
      </c>
      <c r="X85" s="208">
        <f>IFERROR(VLOOKUP($B85,NMBS_abonnementen!$G$7:$K$156,5,FALSE)*$CS$18,"-")</f>
        <v>3204</v>
      </c>
      <c r="Y85" s="209">
        <f t="shared" si="40"/>
        <v>1345</v>
      </c>
      <c r="Z85" s="208">
        <f>IFERROR(VLOOKUP($B85,NMBS_abonnementen!$G$7:$O$156,9,FALSE)*$CS$19,"-")</f>
        <v>2936</v>
      </c>
      <c r="AA85" s="209">
        <f t="shared" si="41"/>
        <v>1077</v>
      </c>
      <c r="AB85" s="210">
        <f>IFERROR(VLOOKUP($B85,NMBS_abonnementen!$G$7:$S$156,13,FALSE),"-")</f>
        <v>2557</v>
      </c>
      <c r="AC85" s="198">
        <f t="shared" si="49"/>
        <v>720</v>
      </c>
      <c r="AD85" s="198">
        <f t="shared" si="42"/>
        <v>50.399999999999977</v>
      </c>
      <c r="AE85" s="198">
        <f t="shared" si="43"/>
        <v>484</v>
      </c>
      <c r="AF85" s="198">
        <f t="shared" si="44"/>
        <v>-236</v>
      </c>
      <c r="AH85" s="198">
        <f t="shared" si="45"/>
        <v>669.6</v>
      </c>
      <c r="AI85" s="198">
        <f t="shared" si="46"/>
        <v>185.60000000000002</v>
      </c>
      <c r="AJ85" s="198">
        <f t="shared" si="47"/>
        <v>669.6</v>
      </c>
      <c r="AK85" s="198">
        <f t="shared" si="48"/>
        <v>0</v>
      </c>
      <c r="AL85" s="179"/>
      <c r="AM85" s="175"/>
      <c r="AN85" s="175"/>
      <c r="AX85" s="181"/>
      <c r="AY85" s="181"/>
      <c r="BA85" s="181">
        <v>4.4000000000000004</v>
      </c>
    </row>
    <row r="86" spans="2:78" ht="12" customHeight="1">
      <c r="B86" s="110">
        <v>76</v>
      </c>
      <c r="C86" s="102">
        <f>NMBS_flexabo!$C80*$AR$15</f>
        <v>2196</v>
      </c>
      <c r="D86" s="102">
        <f>NMBS_flexabo!$D80*$AR$22</f>
        <v>1936</v>
      </c>
      <c r="E86" s="102">
        <f>NMBS_flexabo!$E80*VLOOKUP($B$5,$AS$43:$AY$43,7,FALSE)</f>
        <v>2076.3000000000002</v>
      </c>
      <c r="F86" s="102">
        <f>NMBS_flexabo!$F80*VLOOKUP($B$5,$AS$45:$AY$48,7,FALSE)</f>
        <v>2034</v>
      </c>
      <c r="G86" s="104">
        <f>IFERROR(VLOOKUP($B86,NMBS_abonnementen!$G$7:$H$156,2,FALSE),"-")*VLOOKUP($B$5,NMBS_halftijds!$P$4:$Q$44,2)</f>
        <v>2062.1952000000001</v>
      </c>
      <c r="H86" s="104">
        <f>IFERROR(VLOOKUP($B86,NMBS_abonnementen!$G$7:$I$156,3,FALSE)*$BB$22,"-")</f>
        <v>2976</v>
      </c>
      <c r="I86" s="104">
        <f>IFERROR(VLOOKUP($B86,NMBS_abonnementen!$G$7:$M$156,7,FALSE)*$BB$23,"-")</f>
        <v>2780</v>
      </c>
      <c r="J86" s="104" t="str">
        <f>IFERROR(VLOOKUP($B86,NMBS_abonnementen!$G$7:$Q$156,11,FALSE),"-")</f>
        <v xml:space="preserve"> 2481,00</v>
      </c>
      <c r="K86" s="104">
        <f>VLOOKUP($B86,NMBS_ticketten!$G$6:$I$155,3,FALSE)*$B$5*$E$5</f>
        <v>2980.7999999999997</v>
      </c>
      <c r="L86" s="101" t="str">
        <f t="shared" si="32"/>
        <v/>
      </c>
      <c r="M86" s="101">
        <f t="shared" si="33"/>
        <v>2203.2000000000003</v>
      </c>
      <c r="N86" s="103">
        <f t="shared" si="34"/>
        <v>669.6</v>
      </c>
      <c r="O86" s="174"/>
      <c r="P86" s="269">
        <f t="shared" si="35"/>
        <v>1936</v>
      </c>
      <c r="Q86" s="271">
        <f t="shared" si="36"/>
        <v>1936</v>
      </c>
      <c r="R86" s="208">
        <f>IFERROR(VLOOKUP($B86,NMBS_abonnementen!$G$7:$J$156,4,FALSE)*$CS$11,"-")</f>
        <v>3516</v>
      </c>
      <c r="S86" s="209">
        <f t="shared" si="37"/>
        <v>1580</v>
      </c>
      <c r="T86" s="208">
        <f>IFERROR(VLOOKUP($B86,NMBS_abonnementen!$G$7:$N$156,8,FALSE)*$CS$12,"-")</f>
        <v>3252</v>
      </c>
      <c r="U86" s="209">
        <f t="shared" si="38"/>
        <v>1316</v>
      </c>
      <c r="V86" s="210">
        <f>IFERROR(VLOOKUP($B86,NMBS_abonnementen!$G$7:$R$156,12,FALSE)*$CS$13,"-")</f>
        <v>2780</v>
      </c>
      <c r="W86" s="209">
        <f t="shared" si="39"/>
        <v>844</v>
      </c>
      <c r="X86" s="208">
        <f>IFERROR(VLOOKUP($B86,NMBS_abonnementen!$G$7:$K$156,5,FALSE)*$CS$18,"-")</f>
        <v>3324</v>
      </c>
      <c r="Y86" s="209">
        <f t="shared" si="40"/>
        <v>1388</v>
      </c>
      <c r="Z86" s="208">
        <f>IFERROR(VLOOKUP($B86,NMBS_abonnementen!$G$7:$O$156,9,FALSE)*$CS$19,"-")</f>
        <v>3048</v>
      </c>
      <c r="AA86" s="209">
        <f t="shared" si="41"/>
        <v>1112</v>
      </c>
      <c r="AB86" s="210">
        <f>IFERROR(VLOOKUP($B86,NMBS_abonnementen!$G$7:$S$156,13,FALSE),"-")</f>
        <v>2656</v>
      </c>
      <c r="AC86" s="198">
        <f t="shared" si="49"/>
        <v>720</v>
      </c>
      <c r="AD86" s="198">
        <f t="shared" si="42"/>
        <v>50.399999999999977</v>
      </c>
      <c r="AE86" s="198">
        <f t="shared" si="43"/>
        <v>484</v>
      </c>
      <c r="AF86" s="198">
        <f t="shared" si="44"/>
        <v>-236</v>
      </c>
      <c r="AH86" s="198">
        <f t="shared" si="45"/>
        <v>669.6</v>
      </c>
      <c r="AI86" s="198">
        <f t="shared" si="46"/>
        <v>185.60000000000002</v>
      </c>
      <c r="AJ86" s="198">
        <f t="shared" si="47"/>
        <v>669.6</v>
      </c>
      <c r="AK86" s="198">
        <f t="shared" si="48"/>
        <v>0</v>
      </c>
      <c r="AL86" s="179"/>
      <c r="AM86" s="175"/>
      <c r="AN86" s="175"/>
      <c r="AX86" s="181"/>
      <c r="AY86" s="181"/>
      <c r="BA86" s="181">
        <v>4.5</v>
      </c>
    </row>
    <row r="87" spans="2:78" ht="12" customHeight="1">
      <c r="B87" s="110">
        <v>77</v>
      </c>
      <c r="C87" s="102">
        <f>NMBS_flexabo!$C81*$AR$15</f>
        <v>2196</v>
      </c>
      <c r="D87" s="102">
        <f>NMBS_flexabo!$D81*$AR$22</f>
        <v>1936</v>
      </c>
      <c r="E87" s="102">
        <f>NMBS_flexabo!$E81*VLOOKUP($B$5,$AS$43:$AY$43,7,FALSE)</f>
        <v>2076.3000000000002</v>
      </c>
      <c r="F87" s="102">
        <f>NMBS_flexabo!$F81*VLOOKUP($B$5,$AS$45:$AY$48,7,FALSE)</f>
        <v>2034</v>
      </c>
      <c r="G87" s="104">
        <f>IFERROR(VLOOKUP($B87,NMBS_abonnementen!$G$7:$H$156,2,FALSE),"-")*VLOOKUP($B$5,NMBS_halftijds!$P$4:$Q$44,2)</f>
        <v>2062.1952000000001</v>
      </c>
      <c r="H87" s="104">
        <f>IFERROR(VLOOKUP($B87,NMBS_abonnementen!$G$7:$I$156,3,FALSE)*$BB$22,"-")</f>
        <v>2976</v>
      </c>
      <c r="I87" s="104">
        <f>IFERROR(VLOOKUP($B87,NMBS_abonnementen!$G$7:$M$156,7,FALSE)*$BB$23,"-")</f>
        <v>2780</v>
      </c>
      <c r="J87" s="104" t="str">
        <f>IFERROR(VLOOKUP($B87,NMBS_abonnementen!$G$7:$Q$156,11,FALSE),"-")</f>
        <v xml:space="preserve"> 2481,00</v>
      </c>
      <c r="K87" s="104">
        <f>VLOOKUP($B87,NMBS_ticketten!$G$6:$I$155,3,FALSE)*$B$5*$E$5</f>
        <v>2980.7999999999997</v>
      </c>
      <c r="L87" s="101" t="str">
        <f t="shared" si="32"/>
        <v/>
      </c>
      <c r="M87" s="101">
        <f t="shared" si="33"/>
        <v>2203.2000000000003</v>
      </c>
      <c r="N87" s="103">
        <f t="shared" si="34"/>
        <v>669.6</v>
      </c>
      <c r="O87" s="174"/>
      <c r="P87" s="269">
        <f t="shared" si="35"/>
        <v>1936</v>
      </c>
      <c r="Q87" s="271">
        <f t="shared" si="36"/>
        <v>1936</v>
      </c>
      <c r="R87" s="208">
        <f>IFERROR(VLOOKUP($B87,NMBS_abonnementen!$G$7:$J$156,4,FALSE)*$CS$11,"-")</f>
        <v>3516</v>
      </c>
      <c r="S87" s="209">
        <f t="shared" si="37"/>
        <v>1580</v>
      </c>
      <c r="T87" s="208">
        <f>IFERROR(VLOOKUP($B87,NMBS_abonnementen!$G$7:$N$156,8,FALSE)*$CS$12,"-")</f>
        <v>3252</v>
      </c>
      <c r="U87" s="209">
        <f t="shared" si="38"/>
        <v>1316</v>
      </c>
      <c r="V87" s="210">
        <f>IFERROR(VLOOKUP($B87,NMBS_abonnementen!$G$7:$R$156,12,FALSE)*$CS$13,"-")</f>
        <v>2780</v>
      </c>
      <c r="W87" s="209">
        <f t="shared" si="39"/>
        <v>844</v>
      </c>
      <c r="X87" s="208">
        <f>IFERROR(VLOOKUP($B87,NMBS_abonnementen!$G$7:$K$156,5,FALSE)*$CS$18,"-")</f>
        <v>3324</v>
      </c>
      <c r="Y87" s="209">
        <f t="shared" si="40"/>
        <v>1388</v>
      </c>
      <c r="Z87" s="208">
        <f>IFERROR(VLOOKUP($B87,NMBS_abonnementen!$G$7:$O$156,9,FALSE)*$CS$19,"-")</f>
        <v>3048</v>
      </c>
      <c r="AA87" s="209">
        <f t="shared" si="41"/>
        <v>1112</v>
      </c>
      <c r="AB87" s="210">
        <f>IFERROR(VLOOKUP($B87,NMBS_abonnementen!$G$7:$S$156,13,FALSE),"-")</f>
        <v>2656</v>
      </c>
      <c r="AC87" s="198">
        <f t="shared" si="49"/>
        <v>720</v>
      </c>
      <c r="AD87" s="198">
        <f t="shared" si="42"/>
        <v>50.399999999999977</v>
      </c>
      <c r="AE87" s="198">
        <f t="shared" si="43"/>
        <v>484</v>
      </c>
      <c r="AF87" s="198">
        <f t="shared" si="44"/>
        <v>-236</v>
      </c>
      <c r="AH87" s="198">
        <f t="shared" si="45"/>
        <v>669.6</v>
      </c>
      <c r="AI87" s="198">
        <f t="shared" si="46"/>
        <v>185.60000000000002</v>
      </c>
      <c r="AJ87" s="198">
        <f t="shared" si="47"/>
        <v>669.6</v>
      </c>
      <c r="AK87" s="198">
        <f t="shared" si="48"/>
        <v>0</v>
      </c>
      <c r="AL87" s="179"/>
      <c r="AM87" s="175"/>
      <c r="AN87" s="175"/>
      <c r="AX87" s="181"/>
      <c r="AY87" s="181"/>
      <c r="BA87" s="181">
        <v>4.5999999999999996</v>
      </c>
    </row>
    <row r="88" spans="2:78" ht="12" customHeight="1">
      <c r="B88" s="110">
        <v>78</v>
      </c>
      <c r="C88" s="102">
        <f>NMBS_flexabo!$C82*$AR$15</f>
        <v>2196</v>
      </c>
      <c r="D88" s="102">
        <f>NMBS_flexabo!$D82*$AR$22</f>
        <v>1936</v>
      </c>
      <c r="E88" s="102">
        <f>NMBS_flexabo!$E82*VLOOKUP($B$5,$AS$43:$AY$43,7,FALSE)</f>
        <v>2076.3000000000002</v>
      </c>
      <c r="F88" s="102">
        <f>NMBS_flexabo!$F82*VLOOKUP($B$5,$AS$45:$AY$48,7,FALSE)</f>
        <v>2034</v>
      </c>
      <c r="G88" s="104">
        <f>IFERROR(VLOOKUP($B88,NMBS_abonnementen!$G$7:$H$156,2,FALSE),"-")*VLOOKUP($B$5,NMBS_halftijds!$P$4:$Q$44,2)</f>
        <v>2062.1952000000001</v>
      </c>
      <c r="H88" s="104">
        <f>IFERROR(VLOOKUP($B88,NMBS_abonnementen!$G$7:$I$156,3,FALSE)*$BB$22,"-")</f>
        <v>2976</v>
      </c>
      <c r="I88" s="104">
        <f>IFERROR(VLOOKUP($B88,NMBS_abonnementen!$G$7:$M$156,7,FALSE)*$BB$23,"-")</f>
        <v>2780</v>
      </c>
      <c r="J88" s="104" t="str">
        <f>IFERROR(VLOOKUP($B88,NMBS_abonnementen!$G$7:$Q$156,11,FALSE),"-")</f>
        <v xml:space="preserve"> 2481,00</v>
      </c>
      <c r="K88" s="104">
        <f>VLOOKUP($B88,NMBS_ticketten!$G$6:$I$155,3,FALSE)*$B$5*$E$5</f>
        <v>2980.7999999999997</v>
      </c>
      <c r="L88" s="101" t="str">
        <f t="shared" si="32"/>
        <v/>
      </c>
      <c r="M88" s="101">
        <f t="shared" si="33"/>
        <v>2203.2000000000003</v>
      </c>
      <c r="N88" s="103">
        <f t="shared" si="34"/>
        <v>669.6</v>
      </c>
      <c r="O88" s="174"/>
      <c r="P88" s="269">
        <f t="shared" si="35"/>
        <v>1936</v>
      </c>
      <c r="Q88" s="271">
        <f t="shared" si="36"/>
        <v>1936</v>
      </c>
      <c r="R88" s="208">
        <f>IFERROR(VLOOKUP($B88,NMBS_abonnementen!$G$7:$J$156,4,FALSE)*$CS$11,"-")</f>
        <v>3516</v>
      </c>
      <c r="S88" s="209">
        <f t="shared" si="37"/>
        <v>1580</v>
      </c>
      <c r="T88" s="208">
        <f>IFERROR(VLOOKUP($B88,NMBS_abonnementen!$G$7:$N$156,8,FALSE)*$CS$12,"-")</f>
        <v>3252</v>
      </c>
      <c r="U88" s="209">
        <f t="shared" si="38"/>
        <v>1316</v>
      </c>
      <c r="V88" s="210">
        <f>IFERROR(VLOOKUP($B88,NMBS_abonnementen!$G$7:$R$156,12,FALSE)*$CS$13,"-")</f>
        <v>2780</v>
      </c>
      <c r="W88" s="209">
        <f t="shared" si="39"/>
        <v>844</v>
      </c>
      <c r="X88" s="208">
        <f>IFERROR(VLOOKUP($B88,NMBS_abonnementen!$G$7:$K$156,5,FALSE)*$CS$18,"-")</f>
        <v>3324</v>
      </c>
      <c r="Y88" s="209">
        <f t="shared" si="40"/>
        <v>1388</v>
      </c>
      <c r="Z88" s="208">
        <f>IFERROR(VLOOKUP($B88,NMBS_abonnementen!$G$7:$O$156,9,FALSE)*$CS$19,"-")</f>
        <v>3048</v>
      </c>
      <c r="AA88" s="209">
        <f t="shared" si="41"/>
        <v>1112</v>
      </c>
      <c r="AB88" s="210">
        <f>IFERROR(VLOOKUP($B88,NMBS_abonnementen!$G$7:$S$156,13,FALSE),"-")</f>
        <v>2656</v>
      </c>
      <c r="AC88" s="198">
        <f t="shared" si="49"/>
        <v>720</v>
      </c>
      <c r="AD88" s="198">
        <f t="shared" si="42"/>
        <v>50.399999999999977</v>
      </c>
      <c r="AE88" s="198">
        <f t="shared" si="43"/>
        <v>484</v>
      </c>
      <c r="AF88" s="198">
        <f t="shared" si="44"/>
        <v>-236</v>
      </c>
      <c r="AH88" s="198">
        <f t="shared" si="45"/>
        <v>669.6</v>
      </c>
      <c r="AI88" s="198">
        <f t="shared" si="46"/>
        <v>185.60000000000002</v>
      </c>
      <c r="AJ88" s="198">
        <f t="shared" si="47"/>
        <v>669.6</v>
      </c>
      <c r="AK88" s="198">
        <f t="shared" si="48"/>
        <v>0</v>
      </c>
      <c r="AL88" s="179"/>
      <c r="AM88" s="175"/>
      <c r="AN88" s="175"/>
      <c r="AX88" s="181"/>
      <c r="AY88" s="181"/>
      <c r="BA88" s="181">
        <v>4.7</v>
      </c>
    </row>
    <row r="89" spans="2:78" ht="12" customHeight="1">
      <c r="B89" s="110">
        <v>79</v>
      </c>
      <c r="C89" s="102">
        <f>NMBS_flexabo!$C83*$AR$15</f>
        <v>2196</v>
      </c>
      <c r="D89" s="102">
        <f>NMBS_flexabo!$D83*$AR$22</f>
        <v>1936</v>
      </c>
      <c r="E89" s="102">
        <f>NMBS_flexabo!$E83*VLOOKUP($B$5,$AS$43:$AY$43,7,FALSE)</f>
        <v>2076.3000000000002</v>
      </c>
      <c r="F89" s="102">
        <f>NMBS_flexabo!$F83*VLOOKUP($B$5,$AS$45:$AY$48,7,FALSE)</f>
        <v>2034</v>
      </c>
      <c r="G89" s="104">
        <f>IFERROR(VLOOKUP($B89,NMBS_abonnementen!$G$7:$H$156,2,FALSE),"-")*VLOOKUP($B$5,NMBS_halftijds!$P$4:$Q$44,2)</f>
        <v>2062.1952000000001</v>
      </c>
      <c r="H89" s="104">
        <f>IFERROR(VLOOKUP($B89,NMBS_abonnementen!$G$7:$I$156,3,FALSE)*$BB$22,"-")</f>
        <v>2976</v>
      </c>
      <c r="I89" s="104">
        <f>IFERROR(VLOOKUP($B89,NMBS_abonnementen!$G$7:$M$156,7,FALSE)*$BB$23,"-")</f>
        <v>2780</v>
      </c>
      <c r="J89" s="104" t="str">
        <f>IFERROR(VLOOKUP($B89,NMBS_abonnementen!$G$7:$Q$156,11,FALSE),"-")</f>
        <v xml:space="preserve"> 2481,00</v>
      </c>
      <c r="K89" s="104">
        <f>VLOOKUP($B89,NMBS_ticketten!$G$6:$I$155,3,FALSE)*$B$5*$E$5</f>
        <v>2980.7999999999997</v>
      </c>
      <c r="L89" s="101" t="str">
        <f t="shared" si="32"/>
        <v/>
      </c>
      <c r="M89" s="101">
        <f t="shared" si="33"/>
        <v>2203.2000000000003</v>
      </c>
      <c r="N89" s="103">
        <f t="shared" si="34"/>
        <v>669.6</v>
      </c>
      <c r="O89" s="174"/>
      <c r="P89" s="269">
        <f t="shared" si="35"/>
        <v>1936</v>
      </c>
      <c r="Q89" s="271">
        <f t="shared" si="36"/>
        <v>1936</v>
      </c>
      <c r="R89" s="208">
        <f>IFERROR(VLOOKUP($B89,NMBS_abonnementen!$G$7:$J$156,4,FALSE)*$CS$11,"-")</f>
        <v>3516</v>
      </c>
      <c r="S89" s="209">
        <f t="shared" si="37"/>
        <v>1580</v>
      </c>
      <c r="T89" s="208">
        <f>IFERROR(VLOOKUP($B89,NMBS_abonnementen!$G$7:$N$156,8,FALSE)*$CS$12,"-")</f>
        <v>3252</v>
      </c>
      <c r="U89" s="209">
        <f t="shared" si="38"/>
        <v>1316</v>
      </c>
      <c r="V89" s="210">
        <f>IFERROR(VLOOKUP($B89,NMBS_abonnementen!$G$7:$R$156,12,FALSE)*$CS$13,"-")</f>
        <v>2780</v>
      </c>
      <c r="W89" s="209">
        <f t="shared" si="39"/>
        <v>844</v>
      </c>
      <c r="X89" s="208">
        <f>IFERROR(VLOOKUP($B89,NMBS_abonnementen!$G$7:$K$156,5,FALSE)*$CS$18,"-")</f>
        <v>3324</v>
      </c>
      <c r="Y89" s="209">
        <f t="shared" si="40"/>
        <v>1388</v>
      </c>
      <c r="Z89" s="208">
        <f>IFERROR(VLOOKUP($B89,NMBS_abonnementen!$G$7:$O$156,9,FALSE)*$CS$19,"-")</f>
        <v>3048</v>
      </c>
      <c r="AA89" s="209">
        <f t="shared" si="41"/>
        <v>1112</v>
      </c>
      <c r="AB89" s="210">
        <f>IFERROR(VLOOKUP($B89,NMBS_abonnementen!$G$7:$S$156,13,FALSE),"-")</f>
        <v>2656</v>
      </c>
      <c r="AC89" s="198">
        <f t="shared" si="49"/>
        <v>720</v>
      </c>
      <c r="AD89" s="198">
        <f t="shared" si="42"/>
        <v>50.399999999999977</v>
      </c>
      <c r="AE89" s="198">
        <f t="shared" si="43"/>
        <v>484</v>
      </c>
      <c r="AF89" s="198">
        <f t="shared" si="44"/>
        <v>-236</v>
      </c>
      <c r="AH89" s="198">
        <f t="shared" si="45"/>
        <v>669.6</v>
      </c>
      <c r="AI89" s="198">
        <f t="shared" si="46"/>
        <v>185.60000000000002</v>
      </c>
      <c r="AJ89" s="198">
        <f t="shared" si="47"/>
        <v>669.6</v>
      </c>
      <c r="AK89" s="198">
        <f t="shared" si="48"/>
        <v>0</v>
      </c>
      <c r="AL89" s="179"/>
      <c r="AM89" s="175"/>
      <c r="AN89" s="175"/>
      <c r="AX89" s="181"/>
      <c r="AY89" s="181"/>
      <c r="BA89" s="181">
        <v>4.8</v>
      </c>
    </row>
    <row r="90" spans="2:78" ht="12" customHeight="1">
      <c r="B90" s="110">
        <v>80</v>
      </c>
      <c r="C90" s="102">
        <f>NMBS_flexabo!$C84*$AR$15</f>
        <v>2196</v>
      </c>
      <c r="D90" s="102">
        <f>NMBS_flexabo!$D84*$AR$22</f>
        <v>1936</v>
      </c>
      <c r="E90" s="102">
        <f>NMBS_flexabo!$E84*VLOOKUP($B$5,$AS$43:$AY$43,7,FALSE)</f>
        <v>2076.3000000000002</v>
      </c>
      <c r="F90" s="102">
        <f>NMBS_flexabo!$F84*VLOOKUP($B$5,$AS$45:$AY$48,7,FALSE)</f>
        <v>2034</v>
      </c>
      <c r="G90" s="104">
        <f>IFERROR(VLOOKUP($B90,NMBS_abonnementen!$G$7:$H$156,2,FALSE),"-")*VLOOKUP($B$5,NMBS_halftijds!$P$4:$Q$44,2)</f>
        <v>2062.1952000000001</v>
      </c>
      <c r="H90" s="104">
        <f>IFERROR(VLOOKUP($B90,NMBS_abonnementen!$G$7:$I$156,3,FALSE)*$BB$22,"-")</f>
        <v>2976</v>
      </c>
      <c r="I90" s="104">
        <f>IFERROR(VLOOKUP($B90,NMBS_abonnementen!$G$7:$M$156,7,FALSE)*$BB$23,"-")</f>
        <v>2780</v>
      </c>
      <c r="J90" s="104" t="str">
        <f>IFERROR(VLOOKUP($B90,NMBS_abonnementen!$G$7:$Q$156,11,FALSE),"-")</f>
        <v xml:space="preserve"> 2481,00</v>
      </c>
      <c r="K90" s="104">
        <f>VLOOKUP($B90,NMBS_ticketten!$G$6:$I$155,3,FALSE)*$B$5*$E$5</f>
        <v>2980.7999999999997</v>
      </c>
      <c r="L90" s="101" t="str">
        <f t="shared" si="32"/>
        <v/>
      </c>
      <c r="M90" s="101">
        <f t="shared" si="33"/>
        <v>2203.2000000000003</v>
      </c>
      <c r="N90" s="103">
        <f t="shared" si="34"/>
        <v>669.6</v>
      </c>
      <c r="O90" s="174"/>
      <c r="P90" s="269">
        <f t="shared" si="35"/>
        <v>1936</v>
      </c>
      <c r="Q90" s="271">
        <f t="shared" si="36"/>
        <v>1936</v>
      </c>
      <c r="R90" s="208">
        <f>IFERROR(VLOOKUP($B90,NMBS_abonnementen!$G$7:$J$156,4,FALSE)*$CS$11,"-")</f>
        <v>3516</v>
      </c>
      <c r="S90" s="209">
        <f t="shared" si="37"/>
        <v>1580</v>
      </c>
      <c r="T90" s="208">
        <f>IFERROR(VLOOKUP($B90,NMBS_abonnementen!$G$7:$N$156,8,FALSE)*$CS$12,"-")</f>
        <v>3252</v>
      </c>
      <c r="U90" s="209">
        <f t="shared" si="38"/>
        <v>1316</v>
      </c>
      <c r="V90" s="210">
        <f>IFERROR(VLOOKUP($B90,NMBS_abonnementen!$G$7:$R$156,12,FALSE)*$CS$13,"-")</f>
        <v>2780</v>
      </c>
      <c r="W90" s="209">
        <f t="shared" si="39"/>
        <v>844</v>
      </c>
      <c r="X90" s="208">
        <f>IFERROR(VLOOKUP($B90,NMBS_abonnementen!$G$7:$K$156,5,FALSE)*$CS$18,"-")</f>
        <v>3324</v>
      </c>
      <c r="Y90" s="209">
        <f t="shared" si="40"/>
        <v>1388</v>
      </c>
      <c r="Z90" s="208">
        <f>IFERROR(VLOOKUP($B90,NMBS_abonnementen!$G$7:$O$156,9,FALSE)*$CS$19,"-")</f>
        <v>3048</v>
      </c>
      <c r="AA90" s="209">
        <f t="shared" si="41"/>
        <v>1112</v>
      </c>
      <c r="AB90" s="210">
        <f>IFERROR(VLOOKUP($B90,NMBS_abonnementen!$G$7:$S$156,13,FALSE),"-")</f>
        <v>2656</v>
      </c>
      <c r="AC90" s="198">
        <f t="shared" si="49"/>
        <v>720</v>
      </c>
      <c r="AD90" s="198">
        <f t="shared" si="42"/>
        <v>50.399999999999977</v>
      </c>
      <c r="AE90" s="198">
        <f t="shared" si="43"/>
        <v>484</v>
      </c>
      <c r="AF90" s="198">
        <f t="shared" si="44"/>
        <v>-236</v>
      </c>
      <c r="AH90" s="198">
        <f t="shared" si="45"/>
        <v>669.6</v>
      </c>
      <c r="AI90" s="198">
        <f t="shared" si="46"/>
        <v>185.60000000000002</v>
      </c>
      <c r="AJ90" s="198">
        <f t="shared" si="47"/>
        <v>669.6</v>
      </c>
      <c r="AK90" s="198">
        <f t="shared" si="48"/>
        <v>0</v>
      </c>
      <c r="AL90" s="179"/>
      <c r="AM90" s="175"/>
      <c r="AN90" s="175"/>
      <c r="AX90" s="181"/>
      <c r="AY90" s="181"/>
      <c r="BA90" s="181">
        <v>4.9000000000000004</v>
      </c>
    </row>
    <row r="91" spans="2:78" ht="12" customHeight="1">
      <c r="B91" s="110">
        <v>81</v>
      </c>
      <c r="C91" s="102">
        <f>NMBS_flexabo!$C85*$AR$15</f>
        <v>2268</v>
      </c>
      <c r="D91" s="102">
        <f>NMBS_flexabo!$D85*$AR$22</f>
        <v>2013</v>
      </c>
      <c r="E91" s="102">
        <f>NMBS_flexabo!$E85*VLOOKUP($B$5,$AS$43:$AY$43,7,FALSE)</f>
        <v>2158.65</v>
      </c>
      <c r="F91" s="102">
        <f>NMBS_flexabo!$F85*VLOOKUP($B$5,$AS$45:$AY$48,7,FALSE)</f>
        <v>2115</v>
      </c>
      <c r="G91" s="104">
        <f>IFERROR(VLOOKUP($B91,NMBS_abonnementen!$G$7:$H$156,2,FALSE),"-")*VLOOKUP($B$5,NMBS_halftijds!$P$4:$Q$44,2)</f>
        <v>2134.97856</v>
      </c>
      <c r="H91" s="104">
        <f>IFERROR(VLOOKUP($B91,NMBS_abonnementen!$G$7:$I$156,3,FALSE)*$BB$22,"-")</f>
        <v>3096</v>
      </c>
      <c r="I91" s="104">
        <f>IFERROR(VLOOKUP($B91,NMBS_abonnementen!$G$7:$M$156,7,FALSE)*$BB$23,"-")</f>
        <v>2888</v>
      </c>
      <c r="J91" s="104" t="str">
        <f>IFERROR(VLOOKUP($B91,NMBS_abonnementen!$G$7:$Q$156,11,FALSE),"-")</f>
        <v xml:space="preserve"> 2579,00</v>
      </c>
      <c r="K91" s="104">
        <f>VLOOKUP($B91,NMBS_ticketten!$G$6:$I$155,3,FALSE)*$B$5*$E$5</f>
        <v>3153.6</v>
      </c>
      <c r="L91" s="101" t="str">
        <f t="shared" si="32"/>
        <v/>
      </c>
      <c r="M91" s="101">
        <f t="shared" si="33"/>
        <v>2203.2000000000003</v>
      </c>
      <c r="N91" s="103">
        <f t="shared" si="34"/>
        <v>669.6</v>
      </c>
      <c r="O91" s="174"/>
      <c r="P91" s="269">
        <f t="shared" si="35"/>
        <v>2013</v>
      </c>
      <c r="Q91" s="271">
        <f t="shared" si="36"/>
        <v>2013</v>
      </c>
      <c r="R91" s="208">
        <f>IFERROR(VLOOKUP($B91,NMBS_abonnementen!$G$7:$J$156,4,FALSE)*$CS$11,"-")</f>
        <v>3636</v>
      </c>
      <c r="S91" s="209">
        <f t="shared" si="37"/>
        <v>1623</v>
      </c>
      <c r="T91" s="208">
        <f>IFERROR(VLOOKUP($B91,NMBS_abonnementen!$G$7:$N$156,8,FALSE)*$CS$12,"-")</f>
        <v>3360</v>
      </c>
      <c r="U91" s="209">
        <f t="shared" si="38"/>
        <v>1347</v>
      </c>
      <c r="V91" s="210">
        <f>IFERROR(VLOOKUP($B91,NMBS_abonnementen!$G$7:$R$156,12,FALSE)*$CS$13,"-")</f>
        <v>2878</v>
      </c>
      <c r="W91" s="209">
        <f t="shared" si="39"/>
        <v>865</v>
      </c>
      <c r="X91" s="208">
        <f>IFERROR(VLOOKUP($B91,NMBS_abonnementen!$G$7:$K$156,5,FALSE)*$CS$18,"-")</f>
        <v>3444</v>
      </c>
      <c r="Y91" s="209">
        <f t="shared" si="40"/>
        <v>1431</v>
      </c>
      <c r="Z91" s="208">
        <f>IFERROR(VLOOKUP($B91,NMBS_abonnementen!$G$7:$O$156,9,FALSE)*$CS$19,"-")</f>
        <v>3156</v>
      </c>
      <c r="AA91" s="209">
        <f t="shared" si="41"/>
        <v>1143</v>
      </c>
      <c r="AB91" s="210">
        <f>IFERROR(VLOOKUP($B91,NMBS_abonnementen!$G$7:$S$156,13,FALSE),"-")</f>
        <v>2754</v>
      </c>
      <c r="AC91" s="198">
        <f t="shared" si="49"/>
        <v>720</v>
      </c>
      <c r="AD91" s="198">
        <f t="shared" si="42"/>
        <v>50.399999999999977</v>
      </c>
      <c r="AE91" s="198">
        <f t="shared" si="43"/>
        <v>484</v>
      </c>
      <c r="AF91" s="198">
        <f t="shared" si="44"/>
        <v>-236</v>
      </c>
      <c r="AH91" s="198">
        <f t="shared" si="45"/>
        <v>669.6</v>
      </c>
      <c r="AI91" s="198">
        <f t="shared" si="46"/>
        <v>185.60000000000002</v>
      </c>
      <c r="AJ91" s="198">
        <f t="shared" si="47"/>
        <v>669.6</v>
      </c>
      <c r="AK91" s="198">
        <f t="shared" si="48"/>
        <v>0</v>
      </c>
      <c r="AL91" s="179"/>
      <c r="AM91" s="175"/>
      <c r="AN91" s="175"/>
      <c r="AX91" s="181"/>
      <c r="AY91" s="181"/>
      <c r="BA91" s="181">
        <v>5</v>
      </c>
    </row>
    <row r="92" spans="2:78" ht="12" customHeight="1">
      <c r="B92" s="110">
        <v>82</v>
      </c>
      <c r="C92" s="102">
        <f>NMBS_flexabo!$C86*$AR$15</f>
        <v>2268</v>
      </c>
      <c r="D92" s="102">
        <f>NMBS_flexabo!$D86*$AR$22</f>
        <v>2013</v>
      </c>
      <c r="E92" s="102">
        <f>NMBS_flexabo!$E86*VLOOKUP($B$5,$AS$43:$AY$43,7,FALSE)</f>
        <v>2158.65</v>
      </c>
      <c r="F92" s="102">
        <f>NMBS_flexabo!$F86*VLOOKUP($B$5,$AS$45:$AY$48,7,FALSE)</f>
        <v>2115</v>
      </c>
      <c r="G92" s="104">
        <f>IFERROR(VLOOKUP($B92,NMBS_abonnementen!$G$7:$H$156,2,FALSE),"-")*VLOOKUP($B$5,NMBS_halftijds!$P$4:$Q$44,2)</f>
        <v>2134.97856</v>
      </c>
      <c r="H92" s="104">
        <f>IFERROR(VLOOKUP($B92,NMBS_abonnementen!$G$7:$I$156,3,FALSE)*$BB$22,"-")</f>
        <v>3096</v>
      </c>
      <c r="I92" s="104">
        <f>IFERROR(VLOOKUP($B92,NMBS_abonnementen!$G$7:$M$156,7,FALSE)*$BB$23,"-")</f>
        <v>2888</v>
      </c>
      <c r="J92" s="104" t="str">
        <f>IFERROR(VLOOKUP($B92,NMBS_abonnementen!$G$7:$Q$156,11,FALSE),"-")</f>
        <v xml:space="preserve"> 2579,00</v>
      </c>
      <c r="K92" s="104">
        <f>VLOOKUP($B92,NMBS_ticketten!$G$6:$I$155,3,FALSE)*$B$5*$E$5</f>
        <v>3153.6</v>
      </c>
      <c r="L92" s="101" t="str">
        <f t="shared" si="32"/>
        <v/>
      </c>
      <c r="M92" s="101">
        <f t="shared" si="33"/>
        <v>2203.2000000000003</v>
      </c>
      <c r="N92" s="103">
        <f t="shared" si="34"/>
        <v>669.6</v>
      </c>
      <c r="O92" s="174"/>
      <c r="P92" s="269">
        <f t="shared" si="35"/>
        <v>2013</v>
      </c>
      <c r="Q92" s="271">
        <f t="shared" si="36"/>
        <v>2013</v>
      </c>
      <c r="R92" s="208">
        <f>IFERROR(VLOOKUP($B92,NMBS_abonnementen!$G$7:$J$156,4,FALSE)*$CS$11,"-")</f>
        <v>3636</v>
      </c>
      <c r="S92" s="209">
        <f t="shared" si="37"/>
        <v>1623</v>
      </c>
      <c r="T92" s="208">
        <f>IFERROR(VLOOKUP($B92,NMBS_abonnementen!$G$7:$N$156,8,FALSE)*$CS$12,"-")</f>
        <v>3360</v>
      </c>
      <c r="U92" s="209">
        <f t="shared" si="38"/>
        <v>1347</v>
      </c>
      <c r="V92" s="210">
        <f>IFERROR(VLOOKUP($B92,NMBS_abonnementen!$G$7:$R$156,12,FALSE)*$CS$13,"-")</f>
        <v>2878</v>
      </c>
      <c r="W92" s="209">
        <f t="shared" si="39"/>
        <v>865</v>
      </c>
      <c r="X92" s="208">
        <f>IFERROR(VLOOKUP($B92,NMBS_abonnementen!$G$7:$K$156,5,FALSE)*$CS$18,"-")</f>
        <v>3444</v>
      </c>
      <c r="Y92" s="209">
        <f t="shared" si="40"/>
        <v>1431</v>
      </c>
      <c r="Z92" s="208">
        <f>IFERROR(VLOOKUP($B92,NMBS_abonnementen!$G$7:$O$156,9,FALSE)*$CS$19,"-")</f>
        <v>3156</v>
      </c>
      <c r="AA92" s="209">
        <f t="shared" si="41"/>
        <v>1143</v>
      </c>
      <c r="AB92" s="210">
        <f>IFERROR(VLOOKUP($B92,NMBS_abonnementen!$G$7:$S$156,13,FALSE),"-")</f>
        <v>2754</v>
      </c>
      <c r="AC92" s="198">
        <f t="shared" si="49"/>
        <v>720</v>
      </c>
      <c r="AD92" s="198">
        <f t="shared" si="42"/>
        <v>50.399999999999977</v>
      </c>
      <c r="AE92" s="198">
        <f t="shared" si="43"/>
        <v>484</v>
      </c>
      <c r="AF92" s="198">
        <f t="shared" si="44"/>
        <v>-236</v>
      </c>
      <c r="AH92" s="198">
        <f t="shared" si="45"/>
        <v>669.6</v>
      </c>
      <c r="AI92" s="198">
        <f t="shared" si="46"/>
        <v>185.60000000000002</v>
      </c>
      <c r="AJ92" s="198">
        <f t="shared" si="47"/>
        <v>669.6</v>
      </c>
      <c r="AK92" s="198">
        <f t="shared" si="48"/>
        <v>0</v>
      </c>
      <c r="AL92" s="179"/>
      <c r="AM92" s="175"/>
      <c r="AN92" s="175"/>
      <c r="AX92" s="181"/>
      <c r="AY92" s="181"/>
    </row>
    <row r="93" spans="2:78" ht="12" customHeight="1">
      <c r="B93" s="110">
        <v>83</v>
      </c>
      <c r="C93" s="102">
        <f>NMBS_flexabo!$C87*$AR$15</f>
        <v>2268</v>
      </c>
      <c r="D93" s="102">
        <f>NMBS_flexabo!$D87*$AR$22</f>
        <v>2013</v>
      </c>
      <c r="E93" s="102">
        <f>NMBS_flexabo!$E87*VLOOKUP($B$5,$AS$43:$AY$43,7,FALSE)</f>
        <v>2158.65</v>
      </c>
      <c r="F93" s="102">
        <f>NMBS_flexabo!$F87*VLOOKUP($B$5,$AS$45:$AY$48,7,FALSE)</f>
        <v>2115</v>
      </c>
      <c r="G93" s="104">
        <f>IFERROR(VLOOKUP($B93,NMBS_abonnementen!$G$7:$H$156,2,FALSE),"-")*VLOOKUP($B$5,NMBS_halftijds!$P$4:$Q$44,2)</f>
        <v>2134.97856</v>
      </c>
      <c r="H93" s="104">
        <f>IFERROR(VLOOKUP($B93,NMBS_abonnementen!$G$7:$I$156,3,FALSE)*$BB$22,"-")</f>
        <v>3096</v>
      </c>
      <c r="I93" s="104">
        <f>IFERROR(VLOOKUP($B93,NMBS_abonnementen!$G$7:$M$156,7,FALSE)*$BB$23,"-")</f>
        <v>2888</v>
      </c>
      <c r="J93" s="104" t="str">
        <f>IFERROR(VLOOKUP($B93,NMBS_abonnementen!$G$7:$Q$156,11,FALSE),"-")</f>
        <v xml:space="preserve"> 2579,00</v>
      </c>
      <c r="K93" s="104">
        <f>VLOOKUP($B93,NMBS_ticketten!$G$6:$I$155,3,FALSE)*$B$5*$E$5</f>
        <v>3153.6</v>
      </c>
      <c r="L93" s="101" t="str">
        <f t="shared" si="32"/>
        <v/>
      </c>
      <c r="M93" s="101">
        <f t="shared" si="33"/>
        <v>2203.2000000000003</v>
      </c>
      <c r="N93" s="103">
        <f t="shared" si="34"/>
        <v>669.6</v>
      </c>
      <c r="O93" s="174"/>
      <c r="P93" s="269">
        <f t="shared" si="35"/>
        <v>2013</v>
      </c>
      <c r="Q93" s="271">
        <f t="shared" si="36"/>
        <v>2013</v>
      </c>
      <c r="R93" s="208">
        <f>IFERROR(VLOOKUP($B93,NMBS_abonnementen!$G$7:$J$156,4,FALSE)*$CS$11,"-")</f>
        <v>3636</v>
      </c>
      <c r="S93" s="209">
        <f t="shared" si="37"/>
        <v>1623</v>
      </c>
      <c r="T93" s="208">
        <f>IFERROR(VLOOKUP($B93,NMBS_abonnementen!$G$7:$N$156,8,FALSE)*$CS$12,"-")</f>
        <v>3360</v>
      </c>
      <c r="U93" s="209">
        <f t="shared" si="38"/>
        <v>1347</v>
      </c>
      <c r="V93" s="210">
        <f>IFERROR(VLOOKUP($B93,NMBS_abonnementen!$G$7:$R$156,12,FALSE)*$CS$13,"-")</f>
        <v>2878</v>
      </c>
      <c r="W93" s="209">
        <f t="shared" si="39"/>
        <v>865</v>
      </c>
      <c r="X93" s="208">
        <f>IFERROR(VLOOKUP($B93,NMBS_abonnementen!$G$7:$K$156,5,FALSE)*$CS$18,"-")</f>
        <v>3444</v>
      </c>
      <c r="Y93" s="209">
        <f t="shared" si="40"/>
        <v>1431</v>
      </c>
      <c r="Z93" s="208">
        <f>IFERROR(VLOOKUP($B93,NMBS_abonnementen!$G$7:$O$156,9,FALSE)*$CS$19,"-")</f>
        <v>3156</v>
      </c>
      <c r="AA93" s="209">
        <f t="shared" si="41"/>
        <v>1143</v>
      </c>
      <c r="AB93" s="210">
        <f>IFERROR(VLOOKUP($B93,NMBS_abonnementen!$G$7:$S$156,13,FALSE),"-")</f>
        <v>2754</v>
      </c>
      <c r="AC93" s="198">
        <f t="shared" si="49"/>
        <v>720</v>
      </c>
      <c r="AD93" s="198">
        <f t="shared" si="42"/>
        <v>50.399999999999977</v>
      </c>
      <c r="AE93" s="198">
        <f t="shared" si="43"/>
        <v>484</v>
      </c>
      <c r="AF93" s="198">
        <f t="shared" si="44"/>
        <v>-236</v>
      </c>
      <c r="AH93" s="198">
        <f t="shared" si="45"/>
        <v>669.6</v>
      </c>
      <c r="AI93" s="198">
        <f t="shared" si="46"/>
        <v>185.60000000000002</v>
      </c>
      <c r="AJ93" s="198">
        <f t="shared" si="47"/>
        <v>669.6</v>
      </c>
      <c r="AK93" s="198">
        <f t="shared" si="48"/>
        <v>0</v>
      </c>
      <c r="AL93" s="179"/>
      <c r="AM93" s="175"/>
      <c r="AN93" s="175"/>
      <c r="AX93" s="181"/>
      <c r="AY93" s="181"/>
    </row>
    <row r="94" spans="2:78" ht="12" customHeight="1">
      <c r="B94" s="110">
        <v>84</v>
      </c>
      <c r="C94" s="102">
        <f>NMBS_flexabo!$C88*$AR$15</f>
        <v>2268</v>
      </c>
      <c r="D94" s="102">
        <f>NMBS_flexabo!$D88*$AR$22</f>
        <v>2013</v>
      </c>
      <c r="E94" s="102">
        <f>NMBS_flexabo!$E88*VLOOKUP($B$5,$AS$43:$AY$43,7,FALSE)</f>
        <v>2158.65</v>
      </c>
      <c r="F94" s="102">
        <f>NMBS_flexabo!$F88*VLOOKUP($B$5,$AS$45:$AY$48,7,FALSE)</f>
        <v>2115</v>
      </c>
      <c r="G94" s="104">
        <f>IFERROR(VLOOKUP($B94,NMBS_abonnementen!$G$7:$H$156,2,FALSE),"-")*VLOOKUP($B$5,NMBS_halftijds!$P$4:$Q$44,2)</f>
        <v>2134.97856</v>
      </c>
      <c r="H94" s="104">
        <f>IFERROR(VLOOKUP($B94,NMBS_abonnementen!$G$7:$I$156,3,FALSE)*$BB$22,"-")</f>
        <v>3096</v>
      </c>
      <c r="I94" s="104">
        <f>IFERROR(VLOOKUP($B94,NMBS_abonnementen!$G$7:$M$156,7,FALSE)*$BB$23,"-")</f>
        <v>2888</v>
      </c>
      <c r="J94" s="104" t="str">
        <f>IFERROR(VLOOKUP($B94,NMBS_abonnementen!$G$7:$Q$156,11,FALSE),"-")</f>
        <v xml:space="preserve"> 2579,00</v>
      </c>
      <c r="K94" s="104">
        <f>VLOOKUP($B94,NMBS_ticketten!$G$6:$I$155,3,FALSE)*$B$5*$E$5</f>
        <v>3153.6</v>
      </c>
      <c r="L94" s="101" t="str">
        <f t="shared" si="32"/>
        <v/>
      </c>
      <c r="M94" s="101">
        <f t="shared" si="33"/>
        <v>2203.2000000000003</v>
      </c>
      <c r="N94" s="103">
        <f t="shared" si="34"/>
        <v>669.6</v>
      </c>
      <c r="O94" s="174"/>
      <c r="P94" s="269">
        <f t="shared" si="35"/>
        <v>2013</v>
      </c>
      <c r="Q94" s="271">
        <f t="shared" si="36"/>
        <v>2013</v>
      </c>
      <c r="R94" s="208">
        <f>IFERROR(VLOOKUP($B94,NMBS_abonnementen!$G$7:$J$156,4,FALSE)*$CS$11,"-")</f>
        <v>3636</v>
      </c>
      <c r="S94" s="209">
        <f t="shared" si="37"/>
        <v>1623</v>
      </c>
      <c r="T94" s="208">
        <f>IFERROR(VLOOKUP($B94,NMBS_abonnementen!$G$7:$N$156,8,FALSE)*$CS$12,"-")</f>
        <v>3360</v>
      </c>
      <c r="U94" s="209">
        <f t="shared" si="38"/>
        <v>1347</v>
      </c>
      <c r="V94" s="210">
        <f>IFERROR(VLOOKUP($B94,NMBS_abonnementen!$G$7:$R$156,12,FALSE)*$CS$13,"-")</f>
        <v>2878</v>
      </c>
      <c r="W94" s="209">
        <f t="shared" si="39"/>
        <v>865</v>
      </c>
      <c r="X94" s="208">
        <f>IFERROR(VLOOKUP($B94,NMBS_abonnementen!$G$7:$K$156,5,FALSE)*$CS$18,"-")</f>
        <v>3444</v>
      </c>
      <c r="Y94" s="209">
        <f t="shared" si="40"/>
        <v>1431</v>
      </c>
      <c r="Z94" s="208">
        <f>IFERROR(VLOOKUP($B94,NMBS_abonnementen!$G$7:$O$156,9,FALSE)*$CS$19,"-")</f>
        <v>3156</v>
      </c>
      <c r="AA94" s="209">
        <f t="shared" si="41"/>
        <v>1143</v>
      </c>
      <c r="AB94" s="210">
        <f>IFERROR(VLOOKUP($B94,NMBS_abonnementen!$G$7:$S$156,13,FALSE),"-")</f>
        <v>2754</v>
      </c>
      <c r="AC94" s="209">
        <f t="shared" si="49"/>
        <v>720</v>
      </c>
      <c r="AD94" s="209">
        <f t="shared" si="42"/>
        <v>50.399999999999977</v>
      </c>
      <c r="AE94" s="209">
        <f t="shared" si="43"/>
        <v>484</v>
      </c>
      <c r="AF94" s="209">
        <f t="shared" si="44"/>
        <v>-236</v>
      </c>
      <c r="AH94" s="209">
        <f t="shared" si="45"/>
        <v>669.6</v>
      </c>
      <c r="AI94" s="209">
        <f t="shared" si="46"/>
        <v>185.60000000000002</v>
      </c>
      <c r="AJ94" s="209">
        <f t="shared" si="47"/>
        <v>669.6</v>
      </c>
      <c r="AK94" s="209">
        <f t="shared" si="48"/>
        <v>0</v>
      </c>
      <c r="AL94" s="179"/>
      <c r="AM94" s="175"/>
      <c r="AN94" s="175"/>
      <c r="AX94" s="181"/>
      <c r="AY94" s="181"/>
      <c r="BP94" s="181"/>
      <c r="BQ94" s="181"/>
      <c r="BR94" s="181"/>
      <c r="BS94" s="181"/>
      <c r="BT94" s="181"/>
      <c r="BU94" s="181"/>
      <c r="BV94" s="181"/>
      <c r="BW94" s="181"/>
      <c r="BX94" s="181"/>
      <c r="BY94" s="181"/>
      <c r="BZ94" s="181"/>
    </row>
    <row r="95" spans="2:78" ht="12" customHeight="1">
      <c r="B95" s="110">
        <v>85</v>
      </c>
      <c r="C95" s="102">
        <f>NMBS_flexabo!$C89*$AR$15</f>
        <v>2268</v>
      </c>
      <c r="D95" s="102">
        <f>NMBS_flexabo!$D89*$AR$22</f>
        <v>2013</v>
      </c>
      <c r="E95" s="102">
        <f>NMBS_flexabo!$E89*VLOOKUP($B$5,$AS$43:$AY$43,7,FALSE)</f>
        <v>2158.65</v>
      </c>
      <c r="F95" s="102">
        <f>NMBS_flexabo!$F89*VLOOKUP($B$5,$AS$45:$AY$48,7,FALSE)</f>
        <v>2115</v>
      </c>
      <c r="G95" s="104">
        <f>IFERROR(VLOOKUP($B95,NMBS_abonnementen!$G$7:$H$156,2,FALSE),"-")*VLOOKUP($B$5,NMBS_halftijds!$P$4:$Q$44,2)</f>
        <v>2134.97856</v>
      </c>
      <c r="H95" s="104">
        <f>IFERROR(VLOOKUP($B95,NMBS_abonnementen!$G$7:$I$156,3,FALSE)*$BB$22,"-")</f>
        <v>3096</v>
      </c>
      <c r="I95" s="104">
        <f>IFERROR(VLOOKUP($B95,NMBS_abonnementen!$G$7:$M$156,7,FALSE)*$BB$23,"-")</f>
        <v>2888</v>
      </c>
      <c r="J95" s="104" t="str">
        <f>IFERROR(VLOOKUP($B95,NMBS_abonnementen!$G$7:$Q$156,11,FALSE),"-")</f>
        <v xml:space="preserve"> 2579,00</v>
      </c>
      <c r="K95" s="104">
        <f>VLOOKUP($B95,NMBS_ticketten!$G$6:$I$155,3,FALSE)*$B$5*$E$5</f>
        <v>3153.6</v>
      </c>
      <c r="L95" s="101" t="str">
        <f t="shared" si="32"/>
        <v/>
      </c>
      <c r="M95" s="101">
        <f t="shared" si="33"/>
        <v>2203.2000000000003</v>
      </c>
      <c r="N95" s="103">
        <f t="shared" si="34"/>
        <v>669.6</v>
      </c>
      <c r="O95" s="174"/>
      <c r="P95" s="269">
        <f t="shared" si="35"/>
        <v>2013</v>
      </c>
      <c r="Q95" s="271">
        <f t="shared" si="36"/>
        <v>2013</v>
      </c>
      <c r="R95" s="208">
        <f>IFERROR(VLOOKUP($B95,NMBS_abonnementen!$G$7:$J$156,4,FALSE)*$CS$11,"-")</f>
        <v>3636</v>
      </c>
      <c r="S95" s="209">
        <f t="shared" si="37"/>
        <v>1623</v>
      </c>
      <c r="T95" s="208">
        <f>IFERROR(VLOOKUP($B95,NMBS_abonnementen!$G$7:$N$156,8,FALSE)*$CS$12,"-")</f>
        <v>3360</v>
      </c>
      <c r="U95" s="209">
        <f t="shared" si="38"/>
        <v>1347</v>
      </c>
      <c r="V95" s="210">
        <f>IFERROR(VLOOKUP($B95,NMBS_abonnementen!$G$7:$R$156,12,FALSE)*$CS$13,"-")</f>
        <v>2878</v>
      </c>
      <c r="W95" s="209">
        <f t="shared" si="39"/>
        <v>865</v>
      </c>
      <c r="X95" s="208">
        <f>IFERROR(VLOOKUP($B95,NMBS_abonnementen!$G$7:$K$156,5,FALSE)*$CS$18,"-")</f>
        <v>3444</v>
      </c>
      <c r="Y95" s="209">
        <f t="shared" si="40"/>
        <v>1431</v>
      </c>
      <c r="Z95" s="208">
        <f>IFERROR(VLOOKUP($B95,NMBS_abonnementen!$G$7:$O$156,9,FALSE)*$CS$19,"-")</f>
        <v>3156</v>
      </c>
      <c r="AA95" s="209">
        <f t="shared" si="41"/>
        <v>1143</v>
      </c>
      <c r="AB95" s="210">
        <f>IFERROR(VLOOKUP($B95,NMBS_abonnementen!$G$7:$S$156,13,FALSE),"-")</f>
        <v>2754</v>
      </c>
      <c r="AC95" s="198">
        <f t="shared" si="49"/>
        <v>720</v>
      </c>
      <c r="AD95" s="198">
        <f t="shared" si="42"/>
        <v>50.399999999999977</v>
      </c>
      <c r="AE95" s="198">
        <f t="shared" si="43"/>
        <v>484</v>
      </c>
      <c r="AF95" s="198">
        <f t="shared" si="44"/>
        <v>-236</v>
      </c>
      <c r="AH95" s="198">
        <f t="shared" si="45"/>
        <v>669.6</v>
      </c>
      <c r="AI95" s="198">
        <f t="shared" si="46"/>
        <v>185.60000000000002</v>
      </c>
      <c r="AJ95" s="198">
        <f t="shared" si="47"/>
        <v>669.6</v>
      </c>
      <c r="AK95" s="198">
        <f t="shared" si="48"/>
        <v>0</v>
      </c>
      <c r="AL95" s="179"/>
      <c r="AM95" s="175"/>
      <c r="AN95" s="175"/>
      <c r="AX95" s="181"/>
      <c r="AY95" s="181"/>
    </row>
    <row r="96" spans="2:78" ht="12" customHeight="1">
      <c r="B96" s="110">
        <v>86</v>
      </c>
      <c r="C96" s="102">
        <f>NMBS_flexabo!$C90*$AR$15</f>
        <v>2358</v>
      </c>
      <c r="D96" s="102">
        <f>NMBS_flexabo!$D90*$AR$22</f>
        <v>2090</v>
      </c>
      <c r="E96" s="102">
        <f>NMBS_flexabo!$E90*VLOOKUP($B$5,$AS$43:$AY$43,7,FALSE)</f>
        <v>2241</v>
      </c>
      <c r="F96" s="102">
        <f>NMBS_flexabo!$F90*VLOOKUP($B$5,$AS$45:$AY$48,7,FALSE)</f>
        <v>2196</v>
      </c>
      <c r="G96" s="104">
        <f>IFERROR(VLOOKUP($B96,NMBS_abonnementen!$G$7:$H$156,2,FALSE),"-")*VLOOKUP($B$5,NMBS_halftijds!$P$4:$Q$44,2)</f>
        <v>2207.7619200000004</v>
      </c>
      <c r="H96" s="104">
        <f>IFERROR(VLOOKUP($B96,NMBS_abonnementen!$G$7:$I$156,3,FALSE)*$BB$22,"-")</f>
        <v>3216</v>
      </c>
      <c r="I96" s="104">
        <f>IFERROR(VLOOKUP($B96,NMBS_abonnementen!$G$7:$M$156,7,FALSE)*$BB$23,"-")</f>
        <v>3000</v>
      </c>
      <c r="J96" s="104" t="str">
        <f>IFERROR(VLOOKUP($B96,NMBS_abonnementen!$G$7:$Q$156,11,FALSE),"-")</f>
        <v xml:space="preserve"> 2678,00</v>
      </c>
      <c r="K96" s="104">
        <f>VLOOKUP($B96,NMBS_ticketten!$G$6:$I$155,3,FALSE)*$B$5*$E$5</f>
        <v>3326.4</v>
      </c>
      <c r="L96" s="101" t="str">
        <f t="shared" si="32"/>
        <v/>
      </c>
      <c r="M96" s="101">
        <f t="shared" si="33"/>
        <v>2203.2000000000003</v>
      </c>
      <c r="N96" s="103">
        <f t="shared" si="34"/>
        <v>669.6</v>
      </c>
      <c r="O96" s="174"/>
      <c r="P96" s="269">
        <f t="shared" si="35"/>
        <v>2090</v>
      </c>
      <c r="Q96" s="271">
        <f t="shared" si="36"/>
        <v>2090</v>
      </c>
      <c r="R96" s="208">
        <f>IFERROR(VLOOKUP($B96,NMBS_abonnementen!$G$7:$J$156,4,FALSE)*$CS$11,"-")</f>
        <v>3756</v>
      </c>
      <c r="S96" s="209">
        <f t="shared" si="37"/>
        <v>1666</v>
      </c>
      <c r="T96" s="208">
        <f>IFERROR(VLOOKUP($B96,NMBS_abonnementen!$G$7:$N$156,8,FALSE)*$CS$12,"-")</f>
        <v>3472</v>
      </c>
      <c r="U96" s="209">
        <f t="shared" si="38"/>
        <v>1382</v>
      </c>
      <c r="V96" s="210">
        <f>IFERROR(VLOOKUP($B96,NMBS_abonnementen!$G$7:$R$156,12,FALSE)*$CS$13,"-")</f>
        <v>2977</v>
      </c>
      <c r="W96" s="209">
        <f t="shared" si="39"/>
        <v>887</v>
      </c>
      <c r="X96" s="208">
        <f>IFERROR(VLOOKUP($B96,NMBS_abonnementen!$G$7:$K$156,5,FALSE)*$CS$18,"-")</f>
        <v>3564</v>
      </c>
      <c r="Y96" s="209">
        <f t="shared" si="40"/>
        <v>1474</v>
      </c>
      <c r="Z96" s="208">
        <f>IFERROR(VLOOKUP($B96,NMBS_abonnementen!$G$7:$O$156,9,FALSE)*$CS$19,"-")</f>
        <v>3268</v>
      </c>
      <c r="AA96" s="209">
        <f t="shared" si="41"/>
        <v>1178</v>
      </c>
      <c r="AB96" s="210">
        <f>IFERROR(VLOOKUP($B96,NMBS_abonnementen!$G$7:$S$156,13,FALSE),"-")</f>
        <v>2853</v>
      </c>
      <c r="AC96" s="198">
        <f t="shared" si="49"/>
        <v>720</v>
      </c>
      <c r="AD96" s="198">
        <f t="shared" si="42"/>
        <v>50.399999999999977</v>
      </c>
      <c r="AE96" s="198">
        <f t="shared" si="43"/>
        <v>484</v>
      </c>
      <c r="AF96" s="198">
        <f t="shared" si="44"/>
        <v>-236</v>
      </c>
      <c r="AH96" s="198">
        <f t="shared" si="45"/>
        <v>669.6</v>
      </c>
      <c r="AI96" s="198">
        <f t="shared" si="46"/>
        <v>185.60000000000002</v>
      </c>
      <c r="AJ96" s="198">
        <f t="shared" si="47"/>
        <v>669.6</v>
      </c>
      <c r="AK96" s="198">
        <f t="shared" si="48"/>
        <v>0</v>
      </c>
      <c r="AL96" s="179"/>
      <c r="AM96" s="175"/>
      <c r="AN96" s="175"/>
      <c r="AX96" s="181"/>
      <c r="AY96" s="181"/>
    </row>
    <row r="97" spans="2:51" ht="12" customHeight="1">
      <c r="B97" s="110">
        <v>87</v>
      </c>
      <c r="C97" s="102">
        <f>NMBS_flexabo!$C91*$AR$15</f>
        <v>2358</v>
      </c>
      <c r="D97" s="102">
        <f>NMBS_flexabo!$D91*$AR$22</f>
        <v>2090</v>
      </c>
      <c r="E97" s="102">
        <f>NMBS_flexabo!$E91*VLOOKUP($B$5,$AS$43:$AY$43,7,FALSE)</f>
        <v>2241</v>
      </c>
      <c r="F97" s="102">
        <f>NMBS_flexabo!$F91*VLOOKUP($B$5,$AS$45:$AY$48,7,FALSE)</f>
        <v>2196</v>
      </c>
      <c r="G97" s="104">
        <f>IFERROR(VLOOKUP($B97,NMBS_abonnementen!$G$7:$H$156,2,FALSE),"-")*VLOOKUP($B$5,NMBS_halftijds!$P$4:$Q$44,2)</f>
        <v>2207.7619200000004</v>
      </c>
      <c r="H97" s="104">
        <f>IFERROR(VLOOKUP($B97,NMBS_abonnementen!$G$7:$I$156,3,FALSE)*$BB$22,"-")</f>
        <v>3216</v>
      </c>
      <c r="I97" s="104">
        <f>IFERROR(VLOOKUP($B97,NMBS_abonnementen!$G$7:$M$156,7,FALSE)*$BB$23,"-")</f>
        <v>3000</v>
      </c>
      <c r="J97" s="104" t="str">
        <f>IFERROR(VLOOKUP($B97,NMBS_abonnementen!$G$7:$Q$156,11,FALSE),"-")</f>
        <v xml:space="preserve"> 2678,00</v>
      </c>
      <c r="K97" s="104">
        <f>VLOOKUP($B97,NMBS_ticketten!$G$6:$I$155,3,FALSE)*$B$5*$E$5</f>
        <v>3326.4</v>
      </c>
      <c r="L97" s="101" t="str">
        <f t="shared" si="32"/>
        <v/>
      </c>
      <c r="M97" s="101">
        <f t="shared" si="33"/>
        <v>2203.2000000000003</v>
      </c>
      <c r="N97" s="103">
        <f t="shared" si="34"/>
        <v>669.6</v>
      </c>
      <c r="O97" s="174"/>
      <c r="P97" s="269">
        <f t="shared" si="35"/>
        <v>2090</v>
      </c>
      <c r="Q97" s="271">
        <f t="shared" si="36"/>
        <v>2090</v>
      </c>
      <c r="R97" s="208">
        <f>IFERROR(VLOOKUP($B97,NMBS_abonnementen!$G$7:$J$156,4,FALSE)*$CS$11,"-")</f>
        <v>3756</v>
      </c>
      <c r="S97" s="209">
        <f t="shared" si="37"/>
        <v>1666</v>
      </c>
      <c r="T97" s="208">
        <f>IFERROR(VLOOKUP($B97,NMBS_abonnementen!$G$7:$N$156,8,FALSE)*$CS$12,"-")</f>
        <v>3472</v>
      </c>
      <c r="U97" s="209">
        <f t="shared" si="38"/>
        <v>1382</v>
      </c>
      <c r="V97" s="210">
        <f>IFERROR(VLOOKUP($B97,NMBS_abonnementen!$G$7:$R$156,12,FALSE)*$CS$13,"-")</f>
        <v>2977</v>
      </c>
      <c r="W97" s="209">
        <f t="shared" si="39"/>
        <v>887</v>
      </c>
      <c r="X97" s="208">
        <f>IFERROR(VLOOKUP($B97,NMBS_abonnementen!$G$7:$K$156,5,FALSE)*$CS$18,"-")</f>
        <v>3564</v>
      </c>
      <c r="Y97" s="209">
        <f t="shared" si="40"/>
        <v>1474</v>
      </c>
      <c r="Z97" s="208">
        <f>IFERROR(VLOOKUP($B97,NMBS_abonnementen!$G$7:$O$156,9,FALSE)*$CS$19,"-")</f>
        <v>3268</v>
      </c>
      <c r="AA97" s="209">
        <f t="shared" si="41"/>
        <v>1178</v>
      </c>
      <c r="AB97" s="210">
        <f>IFERROR(VLOOKUP($B97,NMBS_abonnementen!$G$7:$S$156,13,FALSE),"-")</f>
        <v>2853</v>
      </c>
      <c r="AC97" s="198">
        <f t="shared" si="49"/>
        <v>720</v>
      </c>
      <c r="AD97" s="198">
        <f t="shared" si="42"/>
        <v>50.399999999999977</v>
      </c>
      <c r="AE97" s="198">
        <f t="shared" si="43"/>
        <v>484</v>
      </c>
      <c r="AF97" s="198">
        <f t="shared" si="44"/>
        <v>-236</v>
      </c>
      <c r="AH97" s="198">
        <f t="shared" si="45"/>
        <v>669.6</v>
      </c>
      <c r="AI97" s="198">
        <f t="shared" si="46"/>
        <v>185.60000000000002</v>
      </c>
      <c r="AJ97" s="198">
        <f t="shared" si="47"/>
        <v>669.6</v>
      </c>
      <c r="AK97" s="198">
        <f t="shared" si="48"/>
        <v>0</v>
      </c>
      <c r="AL97" s="179"/>
      <c r="AM97" s="175"/>
      <c r="AN97" s="175"/>
      <c r="AX97" s="181"/>
      <c r="AY97" s="181"/>
    </row>
    <row r="98" spans="2:51" ht="12" customHeight="1">
      <c r="B98" s="110">
        <v>88</v>
      </c>
      <c r="C98" s="102">
        <f>NMBS_flexabo!$C92*$AR$15</f>
        <v>2358</v>
      </c>
      <c r="D98" s="102">
        <f>NMBS_flexabo!$D92*$AR$22</f>
        <v>2090</v>
      </c>
      <c r="E98" s="102">
        <f>NMBS_flexabo!$E92*VLOOKUP($B$5,$AS$43:$AY$43,7,FALSE)</f>
        <v>2241</v>
      </c>
      <c r="F98" s="102">
        <f>NMBS_flexabo!$F92*VLOOKUP($B$5,$AS$45:$AY$48,7,FALSE)</f>
        <v>2196</v>
      </c>
      <c r="G98" s="104">
        <f>IFERROR(VLOOKUP($B98,NMBS_abonnementen!$G$7:$H$156,2,FALSE),"-")*VLOOKUP($B$5,NMBS_halftijds!$P$4:$Q$44,2)</f>
        <v>2207.7619200000004</v>
      </c>
      <c r="H98" s="104">
        <f>IFERROR(VLOOKUP($B98,NMBS_abonnementen!$G$7:$I$156,3,FALSE)*$BB$22,"-")</f>
        <v>3216</v>
      </c>
      <c r="I98" s="104">
        <f>IFERROR(VLOOKUP($B98,NMBS_abonnementen!$G$7:$M$156,7,FALSE)*$BB$23,"-")</f>
        <v>3000</v>
      </c>
      <c r="J98" s="104" t="str">
        <f>IFERROR(VLOOKUP($B98,NMBS_abonnementen!$G$7:$Q$156,11,FALSE),"-")</f>
        <v xml:space="preserve"> 2678,00</v>
      </c>
      <c r="K98" s="104">
        <f>VLOOKUP($B98,NMBS_ticketten!$G$6:$I$155,3,FALSE)*$B$5*$E$5</f>
        <v>3326.4</v>
      </c>
      <c r="L98" s="101" t="str">
        <f t="shared" si="32"/>
        <v/>
      </c>
      <c r="M98" s="101">
        <f t="shared" si="33"/>
        <v>2203.2000000000003</v>
      </c>
      <c r="N98" s="103">
        <f t="shared" si="34"/>
        <v>669.6</v>
      </c>
      <c r="O98" s="174"/>
      <c r="P98" s="269">
        <f t="shared" si="35"/>
        <v>2090</v>
      </c>
      <c r="Q98" s="271">
        <f t="shared" si="36"/>
        <v>2090</v>
      </c>
      <c r="R98" s="208">
        <f>IFERROR(VLOOKUP($B98,NMBS_abonnementen!$G$7:$J$156,4,FALSE)*$CS$11,"-")</f>
        <v>3756</v>
      </c>
      <c r="S98" s="209">
        <f t="shared" si="37"/>
        <v>1666</v>
      </c>
      <c r="T98" s="208">
        <f>IFERROR(VLOOKUP($B98,NMBS_abonnementen!$G$7:$N$156,8,FALSE)*$CS$12,"-")</f>
        <v>3472</v>
      </c>
      <c r="U98" s="209">
        <f t="shared" si="38"/>
        <v>1382</v>
      </c>
      <c r="V98" s="210">
        <f>IFERROR(VLOOKUP($B98,NMBS_abonnementen!$G$7:$R$156,12,FALSE)*$CS$13,"-")</f>
        <v>2977</v>
      </c>
      <c r="W98" s="209">
        <f t="shared" si="39"/>
        <v>887</v>
      </c>
      <c r="X98" s="208">
        <f>IFERROR(VLOOKUP($B98,NMBS_abonnementen!$G$7:$K$156,5,FALSE)*$CS$18,"-")</f>
        <v>3564</v>
      </c>
      <c r="Y98" s="209">
        <f t="shared" si="40"/>
        <v>1474</v>
      </c>
      <c r="Z98" s="208">
        <f>IFERROR(VLOOKUP($B98,NMBS_abonnementen!$G$7:$O$156,9,FALSE)*$CS$19,"-")</f>
        <v>3268</v>
      </c>
      <c r="AA98" s="209">
        <f t="shared" si="41"/>
        <v>1178</v>
      </c>
      <c r="AB98" s="210">
        <f>IFERROR(VLOOKUP($B98,NMBS_abonnementen!$G$7:$S$156,13,FALSE),"-")</f>
        <v>2853</v>
      </c>
      <c r="AC98" s="198">
        <f t="shared" si="49"/>
        <v>720</v>
      </c>
      <c r="AD98" s="198">
        <f t="shared" si="42"/>
        <v>50.399999999999977</v>
      </c>
      <c r="AE98" s="198">
        <f t="shared" si="43"/>
        <v>484</v>
      </c>
      <c r="AF98" s="198">
        <f t="shared" si="44"/>
        <v>-236</v>
      </c>
      <c r="AH98" s="198">
        <f t="shared" si="45"/>
        <v>669.6</v>
      </c>
      <c r="AI98" s="198">
        <f t="shared" si="46"/>
        <v>185.60000000000002</v>
      </c>
      <c r="AJ98" s="198">
        <f t="shared" si="47"/>
        <v>669.6</v>
      </c>
      <c r="AK98" s="198">
        <f t="shared" si="48"/>
        <v>0</v>
      </c>
      <c r="AL98" s="179"/>
      <c r="AM98" s="175"/>
      <c r="AN98" s="175"/>
      <c r="AX98" s="181"/>
      <c r="AY98" s="181"/>
    </row>
    <row r="99" spans="2:51" ht="12" customHeight="1">
      <c r="B99" s="110">
        <v>89</v>
      </c>
      <c r="C99" s="102">
        <f>NMBS_flexabo!$C93*$AR$15</f>
        <v>2358</v>
      </c>
      <c r="D99" s="102">
        <f>NMBS_flexabo!$D93*$AR$22</f>
        <v>2090</v>
      </c>
      <c r="E99" s="102">
        <f>NMBS_flexabo!$E93*VLOOKUP($B$5,$AS$43:$AY$43,7,FALSE)</f>
        <v>2241</v>
      </c>
      <c r="F99" s="102">
        <f>NMBS_flexabo!$F93*VLOOKUP($B$5,$AS$45:$AY$48,7,FALSE)</f>
        <v>2196</v>
      </c>
      <c r="G99" s="104">
        <f>IFERROR(VLOOKUP($B99,NMBS_abonnementen!$G$7:$H$156,2,FALSE),"-")*VLOOKUP($B$5,NMBS_halftijds!$P$4:$Q$44,2)</f>
        <v>2207.7619200000004</v>
      </c>
      <c r="H99" s="104">
        <f>IFERROR(VLOOKUP($B99,NMBS_abonnementen!$G$7:$I$156,3,FALSE)*$BB$22,"-")</f>
        <v>3216</v>
      </c>
      <c r="I99" s="104">
        <f>IFERROR(VLOOKUP($B99,NMBS_abonnementen!$G$7:$M$156,7,FALSE)*$BB$23,"-")</f>
        <v>3000</v>
      </c>
      <c r="J99" s="104" t="str">
        <f>IFERROR(VLOOKUP($B99,NMBS_abonnementen!$G$7:$Q$156,11,FALSE),"-")</f>
        <v xml:space="preserve"> 2678,00</v>
      </c>
      <c r="K99" s="104">
        <f>VLOOKUP($B99,NMBS_ticketten!$G$6:$I$155,3,FALSE)*$B$5*$E$5</f>
        <v>3326.4</v>
      </c>
      <c r="L99" s="101" t="str">
        <f t="shared" si="32"/>
        <v/>
      </c>
      <c r="M99" s="101">
        <f t="shared" si="33"/>
        <v>2203.2000000000003</v>
      </c>
      <c r="N99" s="103">
        <f t="shared" si="34"/>
        <v>669.6</v>
      </c>
      <c r="O99" s="174"/>
      <c r="P99" s="269">
        <f t="shared" si="35"/>
        <v>2090</v>
      </c>
      <c r="Q99" s="271">
        <f t="shared" si="36"/>
        <v>2090</v>
      </c>
      <c r="R99" s="208">
        <f>IFERROR(VLOOKUP($B99,NMBS_abonnementen!$G$7:$J$156,4,FALSE)*$CS$11,"-")</f>
        <v>3756</v>
      </c>
      <c r="S99" s="209">
        <f t="shared" si="37"/>
        <v>1666</v>
      </c>
      <c r="T99" s="208">
        <f>IFERROR(VLOOKUP($B99,NMBS_abonnementen!$G$7:$N$156,8,FALSE)*$CS$12,"-")</f>
        <v>3472</v>
      </c>
      <c r="U99" s="209">
        <f t="shared" si="38"/>
        <v>1382</v>
      </c>
      <c r="V99" s="210">
        <f>IFERROR(VLOOKUP($B99,NMBS_abonnementen!$G$7:$R$156,12,FALSE)*$CS$13,"-")</f>
        <v>2977</v>
      </c>
      <c r="W99" s="209">
        <f t="shared" si="39"/>
        <v>887</v>
      </c>
      <c r="X99" s="208">
        <f>IFERROR(VLOOKUP($B99,NMBS_abonnementen!$G$7:$K$156,5,FALSE)*$CS$18,"-")</f>
        <v>3564</v>
      </c>
      <c r="Y99" s="209">
        <f t="shared" si="40"/>
        <v>1474</v>
      </c>
      <c r="Z99" s="208">
        <f>IFERROR(VLOOKUP($B99,NMBS_abonnementen!$G$7:$O$156,9,FALSE)*$CS$19,"-")</f>
        <v>3268</v>
      </c>
      <c r="AA99" s="209">
        <f t="shared" si="41"/>
        <v>1178</v>
      </c>
      <c r="AB99" s="210">
        <f>IFERROR(VLOOKUP($B99,NMBS_abonnementen!$G$7:$S$156,13,FALSE),"-")</f>
        <v>2853</v>
      </c>
      <c r="AC99" s="198">
        <f t="shared" si="49"/>
        <v>720</v>
      </c>
      <c r="AD99" s="198">
        <f t="shared" si="42"/>
        <v>50.399999999999977</v>
      </c>
      <c r="AE99" s="198">
        <f t="shared" si="43"/>
        <v>484</v>
      </c>
      <c r="AF99" s="198">
        <f t="shared" si="44"/>
        <v>-236</v>
      </c>
      <c r="AH99" s="198">
        <f t="shared" si="45"/>
        <v>669.6</v>
      </c>
      <c r="AI99" s="198">
        <f t="shared" si="46"/>
        <v>185.60000000000002</v>
      </c>
      <c r="AJ99" s="198">
        <f t="shared" si="47"/>
        <v>669.6</v>
      </c>
      <c r="AK99" s="198">
        <f t="shared" si="48"/>
        <v>0</v>
      </c>
      <c r="AL99" s="179"/>
      <c r="AM99" s="175"/>
      <c r="AN99" s="175"/>
      <c r="AX99" s="181"/>
      <c r="AY99" s="181"/>
    </row>
    <row r="100" spans="2:51" ht="12" customHeight="1">
      <c r="B100" s="110">
        <v>90</v>
      </c>
      <c r="C100" s="102">
        <f>NMBS_flexabo!$C94*$AR$15</f>
        <v>2358</v>
      </c>
      <c r="D100" s="102">
        <f>NMBS_flexabo!$D94*$AR$22</f>
        <v>2090</v>
      </c>
      <c r="E100" s="102">
        <f>NMBS_flexabo!$E94*VLOOKUP($B$5,$AS$43:$AY$43,7,FALSE)</f>
        <v>2241</v>
      </c>
      <c r="F100" s="102">
        <f>NMBS_flexabo!$F94*VLOOKUP($B$5,$AS$45:$AY$48,7,FALSE)</f>
        <v>2196</v>
      </c>
      <c r="G100" s="104">
        <f>IFERROR(VLOOKUP($B100,NMBS_abonnementen!$G$7:$H$156,2,FALSE),"-")*VLOOKUP($B$5,NMBS_halftijds!$P$4:$Q$44,2)</f>
        <v>2207.7619200000004</v>
      </c>
      <c r="H100" s="104">
        <f>IFERROR(VLOOKUP($B100,NMBS_abonnementen!$G$7:$I$156,3,FALSE)*$BB$22,"-")</f>
        <v>3216</v>
      </c>
      <c r="I100" s="104">
        <f>IFERROR(VLOOKUP($B100,NMBS_abonnementen!$G$7:$M$156,7,FALSE)*$BB$23,"-")</f>
        <v>3000</v>
      </c>
      <c r="J100" s="104" t="str">
        <f>IFERROR(VLOOKUP($B100,NMBS_abonnementen!$G$7:$Q$156,11,FALSE),"-")</f>
        <v xml:space="preserve"> 2678,00</v>
      </c>
      <c r="K100" s="104">
        <f>VLOOKUP($B100,NMBS_ticketten!$G$6:$I$155,3,FALSE)*$B$5*$E$5</f>
        <v>3326.4</v>
      </c>
      <c r="L100" s="101" t="str">
        <f t="shared" si="32"/>
        <v/>
      </c>
      <c r="M100" s="101">
        <f t="shared" si="33"/>
        <v>2203.2000000000003</v>
      </c>
      <c r="N100" s="103">
        <f t="shared" si="34"/>
        <v>669.6</v>
      </c>
      <c r="O100" s="174"/>
      <c r="P100" s="269">
        <f t="shared" si="35"/>
        <v>2090</v>
      </c>
      <c r="Q100" s="271">
        <f t="shared" si="36"/>
        <v>2090</v>
      </c>
      <c r="R100" s="208">
        <f>IFERROR(VLOOKUP($B100,NMBS_abonnementen!$G$7:$J$156,4,FALSE)*$CS$11,"-")</f>
        <v>3756</v>
      </c>
      <c r="S100" s="209">
        <f t="shared" si="37"/>
        <v>1666</v>
      </c>
      <c r="T100" s="208">
        <f>IFERROR(VLOOKUP($B100,NMBS_abonnementen!$G$7:$N$156,8,FALSE)*$CS$12,"-")</f>
        <v>3472</v>
      </c>
      <c r="U100" s="209">
        <f t="shared" si="38"/>
        <v>1382</v>
      </c>
      <c r="V100" s="210">
        <f>IFERROR(VLOOKUP($B100,NMBS_abonnementen!$G$7:$R$156,12,FALSE)*$CS$13,"-")</f>
        <v>2977</v>
      </c>
      <c r="W100" s="209">
        <f t="shared" si="39"/>
        <v>887</v>
      </c>
      <c r="X100" s="208">
        <f>IFERROR(VLOOKUP($B100,NMBS_abonnementen!$G$7:$K$156,5,FALSE)*$CS$18,"-")</f>
        <v>3564</v>
      </c>
      <c r="Y100" s="209">
        <f t="shared" si="40"/>
        <v>1474</v>
      </c>
      <c r="Z100" s="208">
        <f>IFERROR(VLOOKUP($B100,NMBS_abonnementen!$G$7:$O$156,9,FALSE)*$CS$19,"-")</f>
        <v>3268</v>
      </c>
      <c r="AA100" s="209">
        <f t="shared" si="41"/>
        <v>1178</v>
      </c>
      <c r="AB100" s="210">
        <f>IFERROR(VLOOKUP($B100,NMBS_abonnementen!$G$7:$S$156,13,FALSE),"-")</f>
        <v>2853</v>
      </c>
      <c r="AC100" s="198">
        <f t="shared" si="49"/>
        <v>720</v>
      </c>
      <c r="AD100" s="198">
        <f t="shared" si="42"/>
        <v>50.399999999999977</v>
      </c>
      <c r="AE100" s="198">
        <f t="shared" si="43"/>
        <v>484</v>
      </c>
      <c r="AF100" s="198">
        <f t="shared" si="44"/>
        <v>-236</v>
      </c>
      <c r="AH100" s="198">
        <f t="shared" si="45"/>
        <v>669.6</v>
      </c>
      <c r="AI100" s="198">
        <f t="shared" si="46"/>
        <v>185.60000000000002</v>
      </c>
      <c r="AJ100" s="198">
        <f t="shared" si="47"/>
        <v>669.6</v>
      </c>
      <c r="AK100" s="198">
        <f t="shared" si="48"/>
        <v>0</v>
      </c>
      <c r="AL100" s="179"/>
      <c r="AM100" s="175"/>
      <c r="AN100" s="175"/>
      <c r="AX100" s="181"/>
      <c r="AY100" s="181"/>
    </row>
    <row r="101" spans="2:51" ht="12" customHeight="1">
      <c r="B101" s="110">
        <v>91</v>
      </c>
      <c r="C101" s="102">
        <f>NMBS_flexabo!$C95*$AR$15</f>
        <v>2448</v>
      </c>
      <c r="D101" s="102">
        <f>NMBS_flexabo!$D95*$AR$22</f>
        <v>2167</v>
      </c>
      <c r="E101" s="102">
        <f>NMBS_flexabo!$E95*VLOOKUP($B$5,$AS$43:$AY$43,7,FALSE)</f>
        <v>2324.7000000000003</v>
      </c>
      <c r="F101" s="102">
        <f>NMBS_flexabo!$F95*VLOOKUP($B$5,$AS$45:$AY$48,7,FALSE)</f>
        <v>2277</v>
      </c>
      <c r="G101" s="104">
        <f>IFERROR(VLOOKUP($B101,NMBS_abonnementen!$G$7:$H$156,2,FALSE),"-")*VLOOKUP($B$5,NMBS_halftijds!$P$4:$Q$44,2)</f>
        <v>2304.8064000000004</v>
      </c>
      <c r="H101" s="104">
        <f>IFERROR(VLOOKUP($B101,NMBS_abonnementen!$G$7:$I$156,3,FALSE)*$BB$22,"-")</f>
        <v>3336</v>
      </c>
      <c r="I101" s="104">
        <f>IFERROR(VLOOKUP($B101,NMBS_abonnementen!$G$7:$M$156,7,FALSE)*$BB$23,"-")</f>
        <v>3108</v>
      </c>
      <c r="J101" s="104" t="str">
        <f>IFERROR(VLOOKUP($B101,NMBS_abonnementen!$G$7:$Q$156,11,FALSE),"-")</f>
        <v xml:space="preserve"> 2777,00</v>
      </c>
      <c r="K101" s="104">
        <f>VLOOKUP($B101,NMBS_ticketten!$G$6:$I$155,3,FALSE)*$B$5*$E$5</f>
        <v>3499.2</v>
      </c>
      <c r="L101" s="101" t="str">
        <f t="shared" si="32"/>
        <v/>
      </c>
      <c r="M101" s="101">
        <f t="shared" si="33"/>
        <v>2203.2000000000003</v>
      </c>
      <c r="N101" s="103">
        <f t="shared" si="34"/>
        <v>669.6</v>
      </c>
      <c r="O101" s="174"/>
      <c r="P101" s="269">
        <f t="shared" si="35"/>
        <v>2167</v>
      </c>
      <c r="Q101" s="271">
        <f t="shared" si="36"/>
        <v>2167</v>
      </c>
      <c r="R101" s="208">
        <f>IFERROR(VLOOKUP($B101,NMBS_abonnementen!$G$7:$J$156,4,FALSE)*$CS$11,"-")</f>
        <v>3876</v>
      </c>
      <c r="S101" s="209">
        <f t="shared" si="37"/>
        <v>1709</v>
      </c>
      <c r="T101" s="208">
        <f>IFERROR(VLOOKUP($B101,NMBS_abonnementen!$G$7:$N$156,8,FALSE)*$CS$12,"-")</f>
        <v>3580</v>
      </c>
      <c r="U101" s="209">
        <f t="shared" si="38"/>
        <v>1413</v>
      </c>
      <c r="V101" s="210">
        <f>IFERROR(VLOOKUP($B101,NMBS_abonnementen!$G$7:$R$156,12,FALSE)*$CS$13,"-")</f>
        <v>3076</v>
      </c>
      <c r="W101" s="209">
        <f t="shared" si="39"/>
        <v>909</v>
      </c>
      <c r="X101" s="208">
        <f>IFERROR(VLOOKUP($B101,NMBS_abonnementen!$G$7:$K$156,5,FALSE)*$CS$18,"-")</f>
        <v>3684</v>
      </c>
      <c r="Y101" s="209">
        <f t="shared" si="40"/>
        <v>1517</v>
      </c>
      <c r="Z101" s="208">
        <f>IFERROR(VLOOKUP($B101,NMBS_abonnementen!$G$7:$O$156,9,FALSE)*$CS$19,"-")</f>
        <v>3376</v>
      </c>
      <c r="AA101" s="209">
        <f t="shared" si="41"/>
        <v>1209</v>
      </c>
      <c r="AB101" s="210">
        <f>IFERROR(VLOOKUP($B101,NMBS_abonnementen!$G$7:$S$156,13,FALSE),"-")</f>
        <v>2952</v>
      </c>
      <c r="AC101" s="198">
        <f t="shared" si="49"/>
        <v>720</v>
      </c>
      <c r="AD101" s="198">
        <f t="shared" si="42"/>
        <v>50.399999999999977</v>
      </c>
      <c r="AE101" s="198">
        <f t="shared" si="43"/>
        <v>484</v>
      </c>
      <c r="AF101" s="198">
        <f t="shared" si="44"/>
        <v>-236</v>
      </c>
      <c r="AH101" s="198">
        <f t="shared" si="45"/>
        <v>669.6</v>
      </c>
      <c r="AI101" s="198">
        <f t="shared" si="46"/>
        <v>185.60000000000002</v>
      </c>
      <c r="AJ101" s="198">
        <f t="shared" si="47"/>
        <v>669.6</v>
      </c>
      <c r="AK101" s="198">
        <f t="shared" si="48"/>
        <v>0</v>
      </c>
      <c r="AL101" s="179"/>
      <c r="AM101" s="175"/>
      <c r="AN101" s="175"/>
      <c r="AX101" s="181"/>
      <c r="AY101" s="181"/>
    </row>
    <row r="102" spans="2:51" ht="12" customHeight="1">
      <c r="B102" s="110">
        <v>92</v>
      </c>
      <c r="C102" s="102">
        <f>NMBS_flexabo!$C96*$AR$15</f>
        <v>2448</v>
      </c>
      <c r="D102" s="102">
        <f>NMBS_flexabo!$D96*$AR$22</f>
        <v>2167</v>
      </c>
      <c r="E102" s="102">
        <f>NMBS_flexabo!$E96*VLOOKUP($B$5,$AS$43:$AY$43,7,FALSE)</f>
        <v>2324.7000000000003</v>
      </c>
      <c r="F102" s="102">
        <f>NMBS_flexabo!$F96*VLOOKUP($B$5,$AS$45:$AY$48,7,FALSE)</f>
        <v>2277</v>
      </c>
      <c r="G102" s="104">
        <f>IFERROR(VLOOKUP($B102,NMBS_abonnementen!$G$7:$H$156,2,FALSE),"-")*VLOOKUP($B$5,NMBS_halftijds!$P$4:$Q$44,2)</f>
        <v>2304.8064000000004</v>
      </c>
      <c r="H102" s="104">
        <f>IFERROR(VLOOKUP($B102,NMBS_abonnementen!$G$7:$I$156,3,FALSE)*$BB$22,"-")</f>
        <v>3336</v>
      </c>
      <c r="I102" s="104">
        <f>IFERROR(VLOOKUP($B102,NMBS_abonnementen!$G$7:$M$156,7,FALSE)*$BB$23,"-")</f>
        <v>3108</v>
      </c>
      <c r="J102" s="104" t="str">
        <f>IFERROR(VLOOKUP($B102,NMBS_abonnementen!$G$7:$Q$156,11,FALSE),"-")</f>
        <v xml:space="preserve"> 2777,00</v>
      </c>
      <c r="K102" s="104">
        <f>VLOOKUP($B102,NMBS_ticketten!$G$6:$I$155,3,FALSE)*$B$5*$E$5</f>
        <v>3499.2</v>
      </c>
      <c r="L102" s="101" t="str">
        <f t="shared" si="32"/>
        <v/>
      </c>
      <c r="M102" s="101">
        <f t="shared" si="33"/>
        <v>2203.2000000000003</v>
      </c>
      <c r="N102" s="103">
        <f t="shared" si="34"/>
        <v>669.6</v>
      </c>
      <c r="O102" s="174"/>
      <c r="P102" s="269">
        <f t="shared" si="35"/>
        <v>2167</v>
      </c>
      <c r="Q102" s="271">
        <f t="shared" si="36"/>
        <v>2167</v>
      </c>
      <c r="R102" s="208">
        <f>IFERROR(VLOOKUP($B102,NMBS_abonnementen!$G$7:$J$156,4,FALSE)*$CS$11,"-")</f>
        <v>3876</v>
      </c>
      <c r="S102" s="209">
        <f t="shared" si="37"/>
        <v>1709</v>
      </c>
      <c r="T102" s="208">
        <f>IFERROR(VLOOKUP($B102,NMBS_abonnementen!$G$7:$N$156,8,FALSE)*$CS$12,"-")</f>
        <v>3580</v>
      </c>
      <c r="U102" s="209">
        <f t="shared" si="38"/>
        <v>1413</v>
      </c>
      <c r="V102" s="210">
        <f>IFERROR(VLOOKUP($B102,NMBS_abonnementen!$G$7:$R$156,12,FALSE)*$CS$13,"-")</f>
        <v>3076</v>
      </c>
      <c r="W102" s="209">
        <f t="shared" si="39"/>
        <v>909</v>
      </c>
      <c r="X102" s="208">
        <f>IFERROR(VLOOKUP($B102,NMBS_abonnementen!$G$7:$K$156,5,FALSE)*$CS$18,"-")</f>
        <v>3684</v>
      </c>
      <c r="Y102" s="209">
        <f t="shared" si="40"/>
        <v>1517</v>
      </c>
      <c r="Z102" s="208">
        <f>IFERROR(VLOOKUP($B102,NMBS_abonnementen!$G$7:$O$156,9,FALSE)*$CS$19,"-")</f>
        <v>3376</v>
      </c>
      <c r="AA102" s="209">
        <f t="shared" si="41"/>
        <v>1209</v>
      </c>
      <c r="AB102" s="210">
        <f>IFERROR(VLOOKUP($B102,NMBS_abonnementen!$G$7:$S$156,13,FALSE),"-")</f>
        <v>2952</v>
      </c>
      <c r="AC102" s="198">
        <f t="shared" si="49"/>
        <v>720</v>
      </c>
      <c r="AD102" s="198">
        <f t="shared" si="42"/>
        <v>50.399999999999977</v>
      </c>
      <c r="AE102" s="198">
        <f t="shared" si="43"/>
        <v>484</v>
      </c>
      <c r="AF102" s="198">
        <f t="shared" si="44"/>
        <v>-236</v>
      </c>
      <c r="AH102" s="198">
        <f t="shared" si="45"/>
        <v>669.6</v>
      </c>
      <c r="AI102" s="198">
        <f t="shared" si="46"/>
        <v>185.60000000000002</v>
      </c>
      <c r="AJ102" s="198">
        <f t="shared" si="47"/>
        <v>669.6</v>
      </c>
      <c r="AK102" s="198">
        <f t="shared" si="48"/>
        <v>0</v>
      </c>
      <c r="AL102" s="179"/>
      <c r="AM102" s="175"/>
      <c r="AN102" s="175"/>
      <c r="AX102" s="181"/>
      <c r="AY102" s="181"/>
    </row>
    <row r="103" spans="2:51" ht="12" customHeight="1">
      <c r="B103" s="110">
        <v>93</v>
      </c>
      <c r="C103" s="102">
        <f>NMBS_flexabo!$C97*$AR$15</f>
        <v>2448</v>
      </c>
      <c r="D103" s="102">
        <f>NMBS_flexabo!$D97*$AR$22</f>
        <v>2167</v>
      </c>
      <c r="E103" s="102">
        <f>NMBS_flexabo!$E97*VLOOKUP($B$5,$AS$43:$AY$43,7,FALSE)</f>
        <v>2324.7000000000003</v>
      </c>
      <c r="F103" s="102">
        <f>NMBS_flexabo!$F97*VLOOKUP($B$5,$AS$45:$AY$48,7,FALSE)</f>
        <v>2277</v>
      </c>
      <c r="G103" s="104">
        <f>IFERROR(VLOOKUP($B103,NMBS_abonnementen!$G$7:$H$156,2,FALSE),"-")*VLOOKUP($B$5,NMBS_halftijds!$P$4:$Q$44,2)</f>
        <v>2304.8064000000004</v>
      </c>
      <c r="H103" s="104">
        <f>IFERROR(VLOOKUP($B103,NMBS_abonnementen!$G$7:$I$156,3,FALSE)*$BB$22,"-")</f>
        <v>3336</v>
      </c>
      <c r="I103" s="104">
        <f>IFERROR(VLOOKUP($B103,NMBS_abonnementen!$G$7:$M$156,7,FALSE)*$BB$23,"-")</f>
        <v>3108</v>
      </c>
      <c r="J103" s="104" t="str">
        <f>IFERROR(VLOOKUP($B103,NMBS_abonnementen!$G$7:$Q$156,11,FALSE),"-")</f>
        <v xml:space="preserve"> 2777,00</v>
      </c>
      <c r="K103" s="104">
        <f>VLOOKUP($B103,NMBS_ticketten!$G$6:$I$155,3,FALSE)*$B$5*$E$5</f>
        <v>3499.2</v>
      </c>
      <c r="L103" s="101" t="str">
        <f t="shared" si="32"/>
        <v/>
      </c>
      <c r="M103" s="101">
        <f t="shared" si="33"/>
        <v>2203.2000000000003</v>
      </c>
      <c r="N103" s="103">
        <f t="shared" si="34"/>
        <v>669.6</v>
      </c>
      <c r="O103" s="174"/>
      <c r="P103" s="269">
        <f t="shared" si="35"/>
        <v>2167</v>
      </c>
      <c r="Q103" s="271">
        <f t="shared" si="36"/>
        <v>2167</v>
      </c>
      <c r="R103" s="208">
        <f>IFERROR(VLOOKUP($B103,NMBS_abonnementen!$G$7:$J$156,4,FALSE)*$CS$11,"-")</f>
        <v>3876</v>
      </c>
      <c r="S103" s="209">
        <f t="shared" si="37"/>
        <v>1709</v>
      </c>
      <c r="T103" s="208">
        <f>IFERROR(VLOOKUP($B103,NMBS_abonnementen!$G$7:$N$156,8,FALSE)*$CS$12,"-")</f>
        <v>3580</v>
      </c>
      <c r="U103" s="209">
        <f t="shared" si="38"/>
        <v>1413</v>
      </c>
      <c r="V103" s="210">
        <f>IFERROR(VLOOKUP($B103,NMBS_abonnementen!$G$7:$R$156,12,FALSE)*$CS$13,"-")</f>
        <v>3076</v>
      </c>
      <c r="W103" s="209">
        <f t="shared" si="39"/>
        <v>909</v>
      </c>
      <c r="X103" s="208">
        <f>IFERROR(VLOOKUP($B103,NMBS_abonnementen!$G$7:$K$156,5,FALSE)*$CS$18,"-")</f>
        <v>3684</v>
      </c>
      <c r="Y103" s="209">
        <f t="shared" si="40"/>
        <v>1517</v>
      </c>
      <c r="Z103" s="208">
        <f>IFERROR(VLOOKUP($B103,NMBS_abonnementen!$G$7:$O$156,9,FALSE)*$CS$19,"-")</f>
        <v>3376</v>
      </c>
      <c r="AA103" s="209">
        <f t="shared" si="41"/>
        <v>1209</v>
      </c>
      <c r="AB103" s="210">
        <f>IFERROR(VLOOKUP($B103,NMBS_abonnementen!$G$7:$S$156,13,FALSE),"-")</f>
        <v>2952</v>
      </c>
      <c r="AC103" s="198">
        <f t="shared" si="49"/>
        <v>720</v>
      </c>
      <c r="AD103" s="198">
        <f t="shared" si="42"/>
        <v>50.399999999999977</v>
      </c>
      <c r="AE103" s="198">
        <f t="shared" si="43"/>
        <v>484</v>
      </c>
      <c r="AF103" s="198">
        <f t="shared" si="44"/>
        <v>-236</v>
      </c>
      <c r="AH103" s="198">
        <f t="shared" si="45"/>
        <v>669.6</v>
      </c>
      <c r="AI103" s="198">
        <f t="shared" si="46"/>
        <v>185.60000000000002</v>
      </c>
      <c r="AJ103" s="198">
        <f t="shared" si="47"/>
        <v>669.6</v>
      </c>
      <c r="AK103" s="198">
        <f t="shared" si="48"/>
        <v>0</v>
      </c>
      <c r="AL103" s="179"/>
      <c r="AM103" s="175"/>
      <c r="AN103" s="175"/>
      <c r="AX103" s="181"/>
      <c r="AY103" s="181"/>
    </row>
    <row r="104" spans="2:51" ht="12" customHeight="1">
      <c r="B104" s="110">
        <v>94</v>
      </c>
      <c r="C104" s="102">
        <f>NMBS_flexabo!$C98*$AR$15</f>
        <v>2448</v>
      </c>
      <c r="D104" s="102">
        <f>NMBS_flexabo!$D98*$AR$22</f>
        <v>2167</v>
      </c>
      <c r="E104" s="102">
        <f>NMBS_flexabo!$E98*VLOOKUP($B$5,$AS$43:$AY$43,7,FALSE)</f>
        <v>2324.7000000000003</v>
      </c>
      <c r="F104" s="102">
        <f>NMBS_flexabo!$F98*VLOOKUP($B$5,$AS$45:$AY$48,7,FALSE)</f>
        <v>2277</v>
      </c>
      <c r="G104" s="104">
        <f>IFERROR(VLOOKUP($B104,NMBS_abonnementen!$G$7:$H$156,2,FALSE),"-")*VLOOKUP($B$5,NMBS_halftijds!$P$4:$Q$44,2)</f>
        <v>2304.8064000000004</v>
      </c>
      <c r="H104" s="104">
        <f>IFERROR(VLOOKUP($B104,NMBS_abonnementen!$G$7:$I$156,3,FALSE)*$BB$22,"-")</f>
        <v>3336</v>
      </c>
      <c r="I104" s="104">
        <f>IFERROR(VLOOKUP($B104,NMBS_abonnementen!$G$7:$M$156,7,FALSE)*$BB$23,"-")</f>
        <v>3108</v>
      </c>
      <c r="J104" s="104" t="str">
        <f>IFERROR(VLOOKUP($B104,NMBS_abonnementen!$G$7:$Q$156,11,FALSE),"-")</f>
        <v xml:space="preserve"> 2777,00</v>
      </c>
      <c r="K104" s="104">
        <f>VLOOKUP($B104,NMBS_ticketten!$G$6:$I$155,3,FALSE)*$B$5*$E$5</f>
        <v>3499.2</v>
      </c>
      <c r="L104" s="101" t="str">
        <f t="shared" si="32"/>
        <v/>
      </c>
      <c r="M104" s="101">
        <f t="shared" si="33"/>
        <v>2203.2000000000003</v>
      </c>
      <c r="N104" s="103">
        <f t="shared" si="34"/>
        <v>669.6</v>
      </c>
      <c r="O104" s="174"/>
      <c r="P104" s="269">
        <f t="shared" si="35"/>
        <v>2167</v>
      </c>
      <c r="Q104" s="271">
        <f t="shared" si="36"/>
        <v>2167</v>
      </c>
      <c r="R104" s="208">
        <f>IFERROR(VLOOKUP($B104,NMBS_abonnementen!$G$7:$J$156,4,FALSE)*$CS$11,"-")</f>
        <v>3876</v>
      </c>
      <c r="S104" s="209">
        <f t="shared" si="37"/>
        <v>1709</v>
      </c>
      <c r="T104" s="208">
        <f>IFERROR(VLOOKUP($B104,NMBS_abonnementen!$G$7:$N$156,8,FALSE)*$CS$12,"-")</f>
        <v>3580</v>
      </c>
      <c r="U104" s="209">
        <f t="shared" si="38"/>
        <v>1413</v>
      </c>
      <c r="V104" s="210">
        <f>IFERROR(VLOOKUP($B104,NMBS_abonnementen!$G$7:$R$156,12,FALSE)*$CS$13,"-")</f>
        <v>3076</v>
      </c>
      <c r="W104" s="209">
        <f t="shared" si="39"/>
        <v>909</v>
      </c>
      <c r="X104" s="208">
        <f>IFERROR(VLOOKUP($B104,NMBS_abonnementen!$G$7:$K$156,5,FALSE)*$CS$18,"-")</f>
        <v>3684</v>
      </c>
      <c r="Y104" s="209">
        <f t="shared" si="40"/>
        <v>1517</v>
      </c>
      <c r="Z104" s="208">
        <f>IFERROR(VLOOKUP($B104,NMBS_abonnementen!$G$7:$O$156,9,FALSE)*$CS$19,"-")</f>
        <v>3376</v>
      </c>
      <c r="AA104" s="209">
        <f t="shared" si="41"/>
        <v>1209</v>
      </c>
      <c r="AB104" s="210">
        <f>IFERROR(VLOOKUP($B104,NMBS_abonnementen!$G$7:$S$156,13,FALSE),"-")</f>
        <v>2952</v>
      </c>
      <c r="AC104" s="198">
        <f t="shared" si="49"/>
        <v>720</v>
      </c>
      <c r="AD104" s="198">
        <f t="shared" si="42"/>
        <v>50.399999999999977</v>
      </c>
      <c r="AE104" s="198">
        <f t="shared" si="43"/>
        <v>484</v>
      </c>
      <c r="AF104" s="198">
        <f t="shared" si="44"/>
        <v>-236</v>
      </c>
      <c r="AH104" s="198">
        <f t="shared" si="45"/>
        <v>669.6</v>
      </c>
      <c r="AI104" s="198">
        <f t="shared" si="46"/>
        <v>185.60000000000002</v>
      </c>
      <c r="AJ104" s="198">
        <f t="shared" si="47"/>
        <v>669.6</v>
      </c>
      <c r="AK104" s="198">
        <f t="shared" si="48"/>
        <v>0</v>
      </c>
      <c r="AL104" s="179"/>
      <c r="AM104" s="175"/>
      <c r="AN104" s="175"/>
      <c r="AX104" s="181"/>
      <c r="AY104" s="181"/>
    </row>
    <row r="105" spans="2:51" ht="12" customHeight="1">
      <c r="B105" s="110">
        <v>95</v>
      </c>
      <c r="C105" s="102">
        <f>NMBS_flexabo!$C99*$AR$15</f>
        <v>2448</v>
      </c>
      <c r="D105" s="102">
        <f>NMBS_flexabo!$D99*$AR$22</f>
        <v>2167</v>
      </c>
      <c r="E105" s="102">
        <f>NMBS_flexabo!$E99*VLOOKUP($B$5,$AS$43:$AY$43,7,FALSE)</f>
        <v>2324.7000000000003</v>
      </c>
      <c r="F105" s="102">
        <f>NMBS_flexabo!$F99*VLOOKUP($B$5,$AS$45:$AY$48,7,FALSE)</f>
        <v>2277</v>
      </c>
      <c r="G105" s="104">
        <f>IFERROR(VLOOKUP($B105,NMBS_abonnementen!$G$7:$H$156,2,FALSE),"-")*VLOOKUP($B$5,NMBS_halftijds!$P$4:$Q$44,2)</f>
        <v>2304.8064000000004</v>
      </c>
      <c r="H105" s="104">
        <f>IFERROR(VLOOKUP($B105,NMBS_abonnementen!$G$7:$I$156,3,FALSE)*$BB$22,"-")</f>
        <v>3336</v>
      </c>
      <c r="I105" s="104">
        <f>IFERROR(VLOOKUP($B105,NMBS_abonnementen!$G$7:$M$156,7,FALSE)*$BB$23,"-")</f>
        <v>3108</v>
      </c>
      <c r="J105" s="104" t="str">
        <f>IFERROR(VLOOKUP($B105,NMBS_abonnementen!$G$7:$Q$156,11,FALSE),"-")</f>
        <v xml:space="preserve"> 2777,00</v>
      </c>
      <c r="K105" s="104">
        <f>VLOOKUP($B105,NMBS_ticketten!$G$6:$I$155,3,FALSE)*$B$5*$E$5</f>
        <v>3499.2</v>
      </c>
      <c r="L105" s="101" t="str">
        <f t="shared" si="32"/>
        <v/>
      </c>
      <c r="M105" s="101">
        <f t="shared" si="33"/>
        <v>2203.2000000000003</v>
      </c>
      <c r="N105" s="103">
        <f t="shared" si="34"/>
        <v>669.6</v>
      </c>
      <c r="O105" s="174"/>
      <c r="P105" s="269">
        <f t="shared" si="35"/>
        <v>2167</v>
      </c>
      <c r="Q105" s="271">
        <f t="shared" si="36"/>
        <v>2167</v>
      </c>
      <c r="R105" s="208">
        <f>IFERROR(VLOOKUP($B105,NMBS_abonnementen!$G$7:$J$156,4,FALSE)*$CS$11,"-")</f>
        <v>3876</v>
      </c>
      <c r="S105" s="209">
        <f t="shared" si="37"/>
        <v>1709</v>
      </c>
      <c r="T105" s="208">
        <f>IFERROR(VLOOKUP($B105,NMBS_abonnementen!$G$7:$N$156,8,FALSE)*$CS$12,"-")</f>
        <v>3580</v>
      </c>
      <c r="U105" s="209">
        <f t="shared" si="38"/>
        <v>1413</v>
      </c>
      <c r="V105" s="210">
        <f>IFERROR(VLOOKUP($B105,NMBS_abonnementen!$G$7:$R$156,12,FALSE)*$CS$13,"-")</f>
        <v>3076</v>
      </c>
      <c r="W105" s="209">
        <f t="shared" si="39"/>
        <v>909</v>
      </c>
      <c r="X105" s="208">
        <f>IFERROR(VLOOKUP($B105,NMBS_abonnementen!$G$7:$K$156,5,FALSE)*$CS$18,"-")</f>
        <v>3684</v>
      </c>
      <c r="Y105" s="209">
        <f t="shared" si="40"/>
        <v>1517</v>
      </c>
      <c r="Z105" s="208">
        <f>IFERROR(VLOOKUP($B105,NMBS_abonnementen!$G$7:$O$156,9,FALSE)*$CS$19,"-")</f>
        <v>3376</v>
      </c>
      <c r="AA105" s="209">
        <f t="shared" si="41"/>
        <v>1209</v>
      </c>
      <c r="AB105" s="210">
        <f>IFERROR(VLOOKUP($B105,NMBS_abonnementen!$G$7:$S$156,13,FALSE),"-")</f>
        <v>2952</v>
      </c>
      <c r="AC105" s="198">
        <f t="shared" si="49"/>
        <v>720</v>
      </c>
      <c r="AD105" s="198">
        <f t="shared" si="42"/>
        <v>50.399999999999977</v>
      </c>
      <c r="AE105" s="198">
        <f t="shared" si="43"/>
        <v>484</v>
      </c>
      <c r="AF105" s="198">
        <f t="shared" si="44"/>
        <v>-236</v>
      </c>
      <c r="AH105" s="198">
        <f t="shared" si="45"/>
        <v>669.6</v>
      </c>
      <c r="AI105" s="198">
        <f t="shared" si="46"/>
        <v>185.60000000000002</v>
      </c>
      <c r="AJ105" s="198">
        <f t="shared" si="47"/>
        <v>669.6</v>
      </c>
      <c r="AK105" s="198">
        <f t="shared" si="48"/>
        <v>0</v>
      </c>
      <c r="AL105" s="179"/>
      <c r="AM105" s="175"/>
      <c r="AN105" s="175"/>
      <c r="AX105" s="181"/>
      <c r="AY105" s="181"/>
    </row>
    <row r="106" spans="2:51" ht="12" customHeight="1">
      <c r="B106" s="110">
        <v>96</v>
      </c>
      <c r="C106" s="102">
        <f>NMBS_flexabo!$C100*$AR$15</f>
        <v>2538</v>
      </c>
      <c r="D106" s="102">
        <f>NMBS_flexabo!$D100*$AR$22</f>
        <v>2244</v>
      </c>
      <c r="E106" s="102">
        <f>NMBS_flexabo!$E100*VLOOKUP($B$5,$AS$43:$AY$43,7,FALSE)</f>
        <v>2407.0500000000002</v>
      </c>
      <c r="F106" s="102">
        <f>NMBS_flexabo!$F100*VLOOKUP($B$5,$AS$45:$AY$48,7,FALSE)</f>
        <v>2358</v>
      </c>
      <c r="G106" s="104">
        <f>IFERROR(VLOOKUP($B106,NMBS_abonnementen!$G$7:$H$156,2,FALSE),"-")*VLOOKUP($B$5,NMBS_halftijds!$P$4:$Q$44,2)</f>
        <v>2377.5897600000003</v>
      </c>
      <c r="H106" s="104">
        <f>IFERROR(VLOOKUP($B106,NMBS_abonnementen!$G$7:$I$156,3,FALSE)*$BB$22,"-")</f>
        <v>3456</v>
      </c>
      <c r="I106" s="104">
        <f>IFERROR(VLOOKUP($B106,NMBS_abonnementen!$G$7:$M$156,7,FALSE)*$BB$23,"-")</f>
        <v>3220</v>
      </c>
      <c r="J106" s="104" t="str">
        <f>IFERROR(VLOOKUP($B106,NMBS_abonnementen!$G$7:$Q$156,11,FALSE),"-")</f>
        <v xml:space="preserve"> 2875,00</v>
      </c>
      <c r="K106" s="104">
        <f>VLOOKUP($B106,NMBS_ticketten!$G$6:$I$155,3,FALSE)*$B$5*$E$5</f>
        <v>3671.9999999999995</v>
      </c>
      <c r="L106" s="101" t="str">
        <f t="shared" si="32"/>
        <v/>
      </c>
      <c r="M106" s="101">
        <f t="shared" si="33"/>
        <v>2203.2000000000003</v>
      </c>
      <c r="N106" s="103">
        <f t="shared" si="34"/>
        <v>669.6</v>
      </c>
      <c r="O106" s="174"/>
      <c r="P106" s="269">
        <f t="shared" si="35"/>
        <v>2203.2000000000003</v>
      </c>
      <c r="Q106" s="271">
        <f t="shared" si="36"/>
        <v>2203.2000000000003</v>
      </c>
      <c r="R106" s="208">
        <f>IFERROR(VLOOKUP($B106,NMBS_abonnementen!$G$7:$J$156,4,FALSE)*$CS$11,"-")</f>
        <v>3996</v>
      </c>
      <c r="S106" s="209">
        <f t="shared" si="37"/>
        <v>1792.7999999999997</v>
      </c>
      <c r="T106" s="208">
        <f>IFERROR(VLOOKUP($B106,NMBS_abonnementen!$G$7:$N$156,8,FALSE)*$CS$12,"-")</f>
        <v>3692</v>
      </c>
      <c r="U106" s="209">
        <f t="shared" si="38"/>
        <v>1488.7999999999997</v>
      </c>
      <c r="V106" s="210">
        <f>IFERROR(VLOOKUP($B106,NMBS_abonnementen!$G$7:$R$156,12,FALSE)*$CS$13,"-")</f>
        <v>3174</v>
      </c>
      <c r="W106" s="209">
        <f t="shared" si="39"/>
        <v>970.79999999999973</v>
      </c>
      <c r="X106" s="208">
        <f>IFERROR(VLOOKUP($B106,NMBS_abonnementen!$G$7:$K$156,5,FALSE)*$CS$18,"-")</f>
        <v>3804</v>
      </c>
      <c r="Y106" s="209">
        <f t="shared" si="40"/>
        <v>1600.7999999999997</v>
      </c>
      <c r="Z106" s="208">
        <f>IFERROR(VLOOKUP($B106,NMBS_abonnementen!$G$7:$O$156,9,FALSE)*$CS$19,"-")</f>
        <v>3488</v>
      </c>
      <c r="AA106" s="209">
        <f t="shared" si="41"/>
        <v>1284.7999999999997</v>
      </c>
      <c r="AB106" s="210">
        <f>IFERROR(VLOOKUP($B106,NMBS_abonnementen!$G$7:$S$156,13,FALSE),"-")</f>
        <v>3050</v>
      </c>
      <c r="AC106" s="198">
        <f t="shared" si="49"/>
        <v>720</v>
      </c>
      <c r="AD106" s="198">
        <f t="shared" si="42"/>
        <v>50.399999999999977</v>
      </c>
      <c r="AE106" s="198">
        <f t="shared" si="43"/>
        <v>484</v>
      </c>
      <c r="AF106" s="198">
        <f t="shared" si="44"/>
        <v>-236</v>
      </c>
      <c r="AH106" s="198">
        <f t="shared" si="45"/>
        <v>669.6</v>
      </c>
      <c r="AI106" s="198">
        <f t="shared" si="46"/>
        <v>185.60000000000002</v>
      </c>
      <c r="AJ106" s="198">
        <f t="shared" si="47"/>
        <v>669.6</v>
      </c>
      <c r="AK106" s="198">
        <f t="shared" si="48"/>
        <v>0</v>
      </c>
      <c r="AL106" s="179"/>
      <c r="AM106" s="175"/>
      <c r="AN106" s="175"/>
      <c r="AX106" s="181"/>
      <c r="AY106" s="181"/>
    </row>
    <row r="107" spans="2:51" ht="12" customHeight="1">
      <c r="B107" s="110">
        <v>97</v>
      </c>
      <c r="C107" s="102">
        <f>NMBS_flexabo!$C101*$AR$15</f>
        <v>2538</v>
      </c>
      <c r="D107" s="102">
        <f>NMBS_flexabo!$D101*$AR$22</f>
        <v>2244</v>
      </c>
      <c r="E107" s="102">
        <f>NMBS_flexabo!$E101*VLOOKUP($B$5,$AS$43:$AY$43,7,FALSE)</f>
        <v>2407.0500000000002</v>
      </c>
      <c r="F107" s="102">
        <f>NMBS_flexabo!$F101*VLOOKUP($B$5,$AS$45:$AY$48,7,FALSE)</f>
        <v>2358</v>
      </c>
      <c r="G107" s="104">
        <f>IFERROR(VLOOKUP($B107,NMBS_abonnementen!$G$7:$H$156,2,FALSE),"-")*VLOOKUP($B$5,NMBS_halftijds!$P$4:$Q$44,2)</f>
        <v>2377.5897600000003</v>
      </c>
      <c r="H107" s="104">
        <f>IFERROR(VLOOKUP($B107,NMBS_abonnementen!$G$7:$I$156,3,FALSE)*$BB$22,"-")</f>
        <v>3456</v>
      </c>
      <c r="I107" s="104">
        <f>IFERROR(VLOOKUP($B107,NMBS_abonnementen!$G$7:$M$156,7,FALSE)*$BB$23,"-")</f>
        <v>3220</v>
      </c>
      <c r="J107" s="104" t="str">
        <f>IFERROR(VLOOKUP($B107,NMBS_abonnementen!$G$7:$Q$156,11,FALSE),"-")</f>
        <v xml:space="preserve"> 2875,00</v>
      </c>
      <c r="K107" s="104">
        <f>VLOOKUP($B107,NMBS_ticketten!$G$6:$I$155,3,FALSE)*$B$5*$E$5</f>
        <v>3671.9999999999995</v>
      </c>
      <c r="L107" s="101" t="str">
        <f t="shared" si="32"/>
        <v/>
      </c>
      <c r="M107" s="101">
        <f t="shared" si="33"/>
        <v>2203.2000000000003</v>
      </c>
      <c r="N107" s="103">
        <f t="shared" si="34"/>
        <v>669.6</v>
      </c>
      <c r="O107" s="174"/>
      <c r="P107" s="269">
        <f t="shared" ref="P107:P138" si="50">MIN(C107:M107)</f>
        <v>2203.2000000000003</v>
      </c>
      <c r="Q107" s="271">
        <f t="shared" ref="Q107:Q138" si="51">P107</f>
        <v>2203.2000000000003</v>
      </c>
      <c r="R107" s="208">
        <f>IFERROR(VLOOKUP($B107,NMBS_abonnementen!$G$7:$J$156,4,FALSE)*$CS$11,"-")</f>
        <v>3996</v>
      </c>
      <c r="S107" s="209">
        <f t="shared" ref="S107:S138" si="52">R107-$Q107</f>
        <v>1792.7999999999997</v>
      </c>
      <c r="T107" s="208">
        <f>IFERROR(VLOOKUP($B107,NMBS_abonnementen!$G$7:$N$156,8,FALSE)*$CS$12,"-")</f>
        <v>3692</v>
      </c>
      <c r="U107" s="209">
        <f t="shared" ref="U107:U138" si="53">T107-$Q107</f>
        <v>1488.7999999999997</v>
      </c>
      <c r="V107" s="210">
        <f>IFERROR(VLOOKUP($B107,NMBS_abonnementen!$G$7:$R$156,12,FALSE)*$CS$13,"-")</f>
        <v>3174</v>
      </c>
      <c r="W107" s="209">
        <f t="shared" ref="W107:W138" si="54">V107-$Q107</f>
        <v>970.79999999999973</v>
      </c>
      <c r="X107" s="208">
        <f>IFERROR(VLOOKUP($B107,NMBS_abonnementen!$G$7:$K$156,5,FALSE)*$CS$18,"-")</f>
        <v>3804</v>
      </c>
      <c r="Y107" s="209">
        <f t="shared" ref="Y107:Y138" si="55">X107-$Q107</f>
        <v>1600.7999999999997</v>
      </c>
      <c r="Z107" s="208">
        <f>IFERROR(VLOOKUP($B107,NMBS_abonnementen!$G$7:$O$156,9,FALSE)*$CS$19,"-")</f>
        <v>3488</v>
      </c>
      <c r="AA107" s="209">
        <f t="shared" ref="AA107:AA138" si="56">Z107-$Q107</f>
        <v>1284.7999999999997</v>
      </c>
      <c r="AB107" s="210">
        <f>IFERROR(VLOOKUP($B107,NMBS_abonnementen!$G$7:$S$156,13,FALSE),"-")</f>
        <v>3050</v>
      </c>
      <c r="AC107" s="198">
        <f t="shared" si="49"/>
        <v>720</v>
      </c>
      <c r="AD107" s="198">
        <f t="shared" ref="AD107:AD138" si="57">AC107-N107</f>
        <v>50.399999999999977</v>
      </c>
      <c r="AE107" s="198">
        <f t="shared" ref="AE107:AE138" si="58">$BI$13</f>
        <v>484</v>
      </c>
      <c r="AF107" s="198">
        <f t="shared" ref="AF107:AF138" si="59">AE107-AC107</f>
        <v>-236</v>
      </c>
      <c r="AH107" s="198">
        <f t="shared" ref="AH107:AH138" si="60">$BE$38</f>
        <v>669.6</v>
      </c>
      <c r="AI107" s="198">
        <f t="shared" ref="AI107:AI138" si="61">AH107-AE107</f>
        <v>185.60000000000002</v>
      </c>
      <c r="AJ107" s="198">
        <f t="shared" ref="AJ107:AJ138" si="62">$BE$38</f>
        <v>669.6</v>
      </c>
      <c r="AK107" s="198">
        <f t="shared" ref="AK107:AK138" si="63">AJ107-AH107</f>
        <v>0</v>
      </c>
      <c r="AL107" s="179"/>
      <c r="AM107" s="175"/>
      <c r="AN107" s="175"/>
      <c r="AX107" s="181"/>
      <c r="AY107" s="181"/>
    </row>
    <row r="108" spans="2:51" ht="12" customHeight="1">
      <c r="B108" s="110">
        <v>98</v>
      </c>
      <c r="C108" s="102">
        <f>NMBS_flexabo!$C102*$AR$15</f>
        <v>2538</v>
      </c>
      <c r="D108" s="102">
        <f>NMBS_flexabo!$D102*$AR$22</f>
        <v>2244</v>
      </c>
      <c r="E108" s="102">
        <f>NMBS_flexabo!$E102*VLOOKUP($B$5,$AS$43:$AY$43,7,FALSE)</f>
        <v>2407.0500000000002</v>
      </c>
      <c r="F108" s="102">
        <f>NMBS_flexabo!$F102*VLOOKUP($B$5,$AS$45:$AY$48,7,FALSE)</f>
        <v>2358</v>
      </c>
      <c r="G108" s="104">
        <f>IFERROR(VLOOKUP($B108,NMBS_abonnementen!$G$7:$H$156,2,FALSE),"-")*VLOOKUP($B$5,NMBS_halftijds!$P$4:$Q$44,2)</f>
        <v>2377.5897600000003</v>
      </c>
      <c r="H108" s="104">
        <f>IFERROR(VLOOKUP($B108,NMBS_abonnementen!$G$7:$I$156,3,FALSE)*$BB$22,"-")</f>
        <v>3456</v>
      </c>
      <c r="I108" s="104">
        <f>IFERROR(VLOOKUP($B108,NMBS_abonnementen!$G$7:$M$156,7,FALSE)*$BB$23,"-")</f>
        <v>3220</v>
      </c>
      <c r="J108" s="104" t="str">
        <f>IFERROR(VLOOKUP($B108,NMBS_abonnementen!$G$7:$Q$156,11,FALSE),"-")</f>
        <v xml:space="preserve"> 2875,00</v>
      </c>
      <c r="K108" s="104">
        <f>VLOOKUP($B108,NMBS_ticketten!$G$6:$I$155,3,FALSE)*$B$5*$E$5</f>
        <v>3671.9999999999995</v>
      </c>
      <c r="L108" s="101" t="str">
        <f t="shared" si="32"/>
        <v/>
      </c>
      <c r="M108" s="101">
        <f t="shared" si="33"/>
        <v>2203.2000000000003</v>
      </c>
      <c r="N108" s="103">
        <f t="shared" si="34"/>
        <v>669.6</v>
      </c>
      <c r="O108" s="174"/>
      <c r="P108" s="269">
        <f t="shared" si="50"/>
        <v>2203.2000000000003</v>
      </c>
      <c r="Q108" s="271">
        <f t="shared" si="51"/>
        <v>2203.2000000000003</v>
      </c>
      <c r="R108" s="208">
        <f>IFERROR(VLOOKUP($B108,NMBS_abonnementen!$G$7:$J$156,4,FALSE)*$CS$11,"-")</f>
        <v>3996</v>
      </c>
      <c r="S108" s="209">
        <f t="shared" si="52"/>
        <v>1792.7999999999997</v>
      </c>
      <c r="T108" s="208">
        <f>IFERROR(VLOOKUP($B108,NMBS_abonnementen!$G$7:$N$156,8,FALSE)*$CS$12,"-")</f>
        <v>3692</v>
      </c>
      <c r="U108" s="209">
        <f t="shared" si="53"/>
        <v>1488.7999999999997</v>
      </c>
      <c r="V108" s="210">
        <f>IFERROR(VLOOKUP($B108,NMBS_abonnementen!$G$7:$R$156,12,FALSE)*$CS$13,"-")</f>
        <v>3174</v>
      </c>
      <c r="W108" s="209">
        <f t="shared" si="54"/>
        <v>970.79999999999973</v>
      </c>
      <c r="X108" s="208">
        <f>IFERROR(VLOOKUP($B108,NMBS_abonnementen!$G$7:$K$156,5,FALSE)*$CS$18,"-")</f>
        <v>3804</v>
      </c>
      <c r="Y108" s="209">
        <f t="shared" si="55"/>
        <v>1600.7999999999997</v>
      </c>
      <c r="Z108" s="208">
        <f>IFERROR(VLOOKUP($B108,NMBS_abonnementen!$G$7:$O$156,9,FALSE)*$CS$19,"-")</f>
        <v>3488</v>
      </c>
      <c r="AA108" s="209">
        <f t="shared" si="56"/>
        <v>1284.7999999999997</v>
      </c>
      <c r="AB108" s="210">
        <f>IFERROR(VLOOKUP($B108,NMBS_abonnementen!$G$7:$S$156,13,FALSE),"-")</f>
        <v>3050</v>
      </c>
      <c r="AC108" s="198">
        <f t="shared" ref="AC108:AC139" si="64">$BI$12</f>
        <v>720</v>
      </c>
      <c r="AD108" s="198">
        <f t="shared" si="57"/>
        <v>50.399999999999977</v>
      </c>
      <c r="AE108" s="198">
        <f t="shared" si="58"/>
        <v>484</v>
      </c>
      <c r="AF108" s="198">
        <f t="shared" si="59"/>
        <v>-236</v>
      </c>
      <c r="AH108" s="198">
        <f t="shared" si="60"/>
        <v>669.6</v>
      </c>
      <c r="AI108" s="198">
        <f t="shared" si="61"/>
        <v>185.60000000000002</v>
      </c>
      <c r="AJ108" s="198">
        <f t="shared" si="62"/>
        <v>669.6</v>
      </c>
      <c r="AK108" s="198">
        <f t="shared" si="63"/>
        <v>0</v>
      </c>
      <c r="AL108" s="179"/>
      <c r="AM108" s="175"/>
      <c r="AN108" s="175"/>
      <c r="AX108" s="181"/>
      <c r="AY108" s="181"/>
    </row>
    <row r="109" spans="2:51" ht="12" customHeight="1">
      <c r="B109" s="110">
        <v>99</v>
      </c>
      <c r="C109" s="102">
        <f>NMBS_flexabo!$C103*$AR$15</f>
        <v>2538</v>
      </c>
      <c r="D109" s="102">
        <f>NMBS_flexabo!$D103*$AR$22</f>
        <v>2244</v>
      </c>
      <c r="E109" s="102">
        <f>NMBS_flexabo!$E103*VLOOKUP($B$5,$AS$43:$AY$43,7,FALSE)</f>
        <v>2407.0500000000002</v>
      </c>
      <c r="F109" s="102">
        <f>NMBS_flexabo!$F103*VLOOKUP($B$5,$AS$45:$AY$48,7,FALSE)</f>
        <v>2358</v>
      </c>
      <c r="G109" s="104">
        <f>IFERROR(VLOOKUP($B109,NMBS_abonnementen!$G$7:$H$156,2,FALSE),"-")*VLOOKUP($B$5,NMBS_halftijds!$P$4:$Q$44,2)</f>
        <v>2377.5897600000003</v>
      </c>
      <c r="H109" s="104">
        <f>IFERROR(VLOOKUP($B109,NMBS_abonnementen!$G$7:$I$156,3,FALSE)*$BB$22,"-")</f>
        <v>3456</v>
      </c>
      <c r="I109" s="104">
        <f>IFERROR(VLOOKUP($B109,NMBS_abonnementen!$G$7:$M$156,7,FALSE)*$BB$23,"-")</f>
        <v>3220</v>
      </c>
      <c r="J109" s="104" t="str">
        <f>IFERROR(VLOOKUP($B109,NMBS_abonnementen!$G$7:$Q$156,11,FALSE),"-")</f>
        <v xml:space="preserve"> 2875,00</v>
      </c>
      <c r="K109" s="104">
        <f>VLOOKUP($B109,NMBS_ticketten!$G$6:$I$155,3,FALSE)*$B$5*$E$5</f>
        <v>3671.9999999999995</v>
      </c>
      <c r="L109" s="101" t="str">
        <f t="shared" si="32"/>
        <v/>
      </c>
      <c r="M109" s="101">
        <f t="shared" si="33"/>
        <v>2203.2000000000003</v>
      </c>
      <c r="N109" s="103">
        <f t="shared" si="34"/>
        <v>669.6</v>
      </c>
      <c r="O109" s="174"/>
      <c r="P109" s="269">
        <f t="shared" si="50"/>
        <v>2203.2000000000003</v>
      </c>
      <c r="Q109" s="271">
        <f t="shared" si="51"/>
        <v>2203.2000000000003</v>
      </c>
      <c r="R109" s="208">
        <f>IFERROR(VLOOKUP($B109,NMBS_abonnementen!$G$7:$J$156,4,FALSE)*$CS$11,"-")</f>
        <v>3996</v>
      </c>
      <c r="S109" s="209">
        <f t="shared" si="52"/>
        <v>1792.7999999999997</v>
      </c>
      <c r="T109" s="208">
        <f>IFERROR(VLOOKUP($B109,NMBS_abonnementen!$G$7:$N$156,8,FALSE)*$CS$12,"-")</f>
        <v>3692</v>
      </c>
      <c r="U109" s="209">
        <f t="shared" si="53"/>
        <v>1488.7999999999997</v>
      </c>
      <c r="V109" s="210">
        <f>IFERROR(VLOOKUP($B109,NMBS_abonnementen!$G$7:$R$156,12,FALSE)*$CS$13,"-")</f>
        <v>3174</v>
      </c>
      <c r="W109" s="209">
        <f t="shared" si="54"/>
        <v>970.79999999999973</v>
      </c>
      <c r="X109" s="208">
        <f>IFERROR(VLOOKUP($B109,NMBS_abonnementen!$G$7:$K$156,5,FALSE)*$CS$18,"-")</f>
        <v>3804</v>
      </c>
      <c r="Y109" s="209">
        <f t="shared" si="55"/>
        <v>1600.7999999999997</v>
      </c>
      <c r="Z109" s="208">
        <f>IFERROR(VLOOKUP($B109,NMBS_abonnementen!$G$7:$O$156,9,FALSE)*$CS$19,"-")</f>
        <v>3488</v>
      </c>
      <c r="AA109" s="209">
        <f t="shared" si="56"/>
        <v>1284.7999999999997</v>
      </c>
      <c r="AB109" s="210">
        <f>IFERROR(VLOOKUP($B109,NMBS_abonnementen!$G$7:$S$156,13,FALSE),"-")</f>
        <v>3050</v>
      </c>
      <c r="AC109" s="198">
        <f t="shared" si="64"/>
        <v>720</v>
      </c>
      <c r="AD109" s="198">
        <f t="shared" si="57"/>
        <v>50.399999999999977</v>
      </c>
      <c r="AE109" s="198">
        <f t="shared" si="58"/>
        <v>484</v>
      </c>
      <c r="AF109" s="198">
        <f t="shared" si="59"/>
        <v>-236</v>
      </c>
      <c r="AH109" s="198">
        <f t="shared" si="60"/>
        <v>669.6</v>
      </c>
      <c r="AI109" s="198">
        <f t="shared" si="61"/>
        <v>185.60000000000002</v>
      </c>
      <c r="AJ109" s="198">
        <f t="shared" si="62"/>
        <v>669.6</v>
      </c>
      <c r="AK109" s="198">
        <f t="shared" si="63"/>
        <v>0</v>
      </c>
      <c r="AL109" s="179"/>
      <c r="AM109" s="175"/>
      <c r="AN109" s="175"/>
      <c r="AX109" s="181"/>
      <c r="AY109" s="181"/>
    </row>
    <row r="110" spans="2:51" ht="12" customHeight="1">
      <c r="B110" s="110">
        <v>100</v>
      </c>
      <c r="C110" s="102">
        <f>NMBS_flexabo!$C104*$AR$15</f>
        <v>2538</v>
      </c>
      <c r="D110" s="102">
        <f>NMBS_flexabo!$D104*$AR$22</f>
        <v>2244</v>
      </c>
      <c r="E110" s="102">
        <f>NMBS_flexabo!$E104*VLOOKUP($B$5,$AS$43:$AY$43,7,FALSE)</f>
        <v>2407.0500000000002</v>
      </c>
      <c r="F110" s="102">
        <f>NMBS_flexabo!$F104*VLOOKUP($B$5,$AS$45:$AY$48,7,FALSE)</f>
        <v>2358</v>
      </c>
      <c r="G110" s="104">
        <f>IFERROR(VLOOKUP($B110,NMBS_abonnementen!$G$7:$H$156,2,FALSE),"-")*VLOOKUP($B$5,NMBS_halftijds!$P$4:$Q$44,2)</f>
        <v>2377.5897600000003</v>
      </c>
      <c r="H110" s="104">
        <f>IFERROR(VLOOKUP($B110,NMBS_abonnementen!$G$7:$I$156,3,FALSE)*$BB$22,"-")</f>
        <v>3456</v>
      </c>
      <c r="I110" s="104">
        <f>IFERROR(VLOOKUP($B110,NMBS_abonnementen!$G$7:$M$156,7,FALSE)*$BB$23,"-")</f>
        <v>3220</v>
      </c>
      <c r="J110" s="104" t="str">
        <f>IFERROR(VLOOKUP($B110,NMBS_abonnementen!$G$7:$Q$156,11,FALSE),"-")</f>
        <v xml:space="preserve"> 2875,00</v>
      </c>
      <c r="K110" s="104">
        <f>VLOOKUP($B110,NMBS_ticketten!$G$6:$I$155,3,FALSE)*$B$5*$E$5</f>
        <v>3671.9999999999995</v>
      </c>
      <c r="L110" s="101" t="str">
        <f t="shared" si="32"/>
        <v/>
      </c>
      <c r="M110" s="101">
        <f t="shared" si="33"/>
        <v>2203.2000000000003</v>
      </c>
      <c r="N110" s="103">
        <f t="shared" si="34"/>
        <v>669.6</v>
      </c>
      <c r="O110" s="174"/>
      <c r="P110" s="269">
        <f t="shared" si="50"/>
        <v>2203.2000000000003</v>
      </c>
      <c r="Q110" s="271">
        <f t="shared" si="51"/>
        <v>2203.2000000000003</v>
      </c>
      <c r="R110" s="208">
        <f>IFERROR(VLOOKUP($B110,NMBS_abonnementen!$G$7:$J$156,4,FALSE)*$CS$11,"-")</f>
        <v>3996</v>
      </c>
      <c r="S110" s="209">
        <f t="shared" si="52"/>
        <v>1792.7999999999997</v>
      </c>
      <c r="T110" s="208">
        <f>IFERROR(VLOOKUP($B110,NMBS_abonnementen!$G$7:$N$156,8,FALSE)*$CS$12,"-")</f>
        <v>3692</v>
      </c>
      <c r="U110" s="209">
        <f t="shared" si="53"/>
        <v>1488.7999999999997</v>
      </c>
      <c r="V110" s="210">
        <f>IFERROR(VLOOKUP($B110,NMBS_abonnementen!$G$7:$R$156,12,FALSE)*$CS$13,"-")</f>
        <v>3174</v>
      </c>
      <c r="W110" s="209">
        <f t="shared" si="54"/>
        <v>970.79999999999973</v>
      </c>
      <c r="X110" s="208">
        <f>IFERROR(VLOOKUP($B110,NMBS_abonnementen!$G$7:$K$156,5,FALSE)*$CS$18,"-")</f>
        <v>3804</v>
      </c>
      <c r="Y110" s="209">
        <f t="shared" si="55"/>
        <v>1600.7999999999997</v>
      </c>
      <c r="Z110" s="208">
        <f>IFERROR(VLOOKUP($B110,NMBS_abonnementen!$G$7:$O$156,9,FALSE)*$CS$19,"-")</f>
        <v>3488</v>
      </c>
      <c r="AA110" s="209">
        <f t="shared" si="56"/>
        <v>1284.7999999999997</v>
      </c>
      <c r="AB110" s="210">
        <f>IFERROR(VLOOKUP($B110,NMBS_abonnementen!$G$7:$S$156,13,FALSE),"-")</f>
        <v>3050</v>
      </c>
      <c r="AC110" s="198">
        <f t="shared" si="64"/>
        <v>720</v>
      </c>
      <c r="AD110" s="198">
        <f t="shared" si="57"/>
        <v>50.399999999999977</v>
      </c>
      <c r="AE110" s="198">
        <f t="shared" si="58"/>
        <v>484</v>
      </c>
      <c r="AF110" s="198">
        <f t="shared" si="59"/>
        <v>-236</v>
      </c>
      <c r="AH110" s="198">
        <f t="shared" si="60"/>
        <v>669.6</v>
      </c>
      <c r="AI110" s="198">
        <f t="shared" si="61"/>
        <v>185.60000000000002</v>
      </c>
      <c r="AJ110" s="198">
        <f t="shared" si="62"/>
        <v>669.6</v>
      </c>
      <c r="AK110" s="198">
        <f t="shared" si="63"/>
        <v>0</v>
      </c>
      <c r="AL110" s="179"/>
      <c r="AM110" s="175"/>
      <c r="AN110" s="175"/>
      <c r="AX110" s="181"/>
      <c r="AY110" s="181"/>
    </row>
    <row r="111" spans="2:51" ht="12" customHeight="1">
      <c r="B111" s="110">
        <v>101</v>
      </c>
      <c r="C111" s="102">
        <f>NMBS_flexabo!$C105*$AR$15</f>
        <v>2628</v>
      </c>
      <c r="D111" s="102">
        <f>NMBS_flexabo!$D105*$AR$22</f>
        <v>2321</v>
      </c>
      <c r="E111" s="102">
        <f>NMBS_flexabo!$E105*VLOOKUP($B$5,$AS$43:$AY$43,7,FALSE)</f>
        <v>2489.4</v>
      </c>
      <c r="F111" s="102">
        <f>NMBS_flexabo!$F105*VLOOKUP($B$5,$AS$45:$AY$48,7,FALSE)</f>
        <v>2439</v>
      </c>
      <c r="G111" s="104">
        <f>IFERROR(VLOOKUP($B111,NMBS_abonnementen!$G$7:$H$156,2,FALSE),"-")*VLOOKUP($B$5,NMBS_halftijds!$P$4:$Q$44,2)</f>
        <v>2450.3731200000002</v>
      </c>
      <c r="H111" s="104">
        <f>IFERROR(VLOOKUP($B111,NMBS_abonnementen!$G$7:$I$156,3,FALSE)*$BB$22,"-")</f>
        <v>3564</v>
      </c>
      <c r="I111" s="104">
        <f>IFERROR(VLOOKUP($B111,NMBS_abonnementen!$G$7:$M$156,7,FALSE)*$BB$23,"-")</f>
        <v>3332</v>
      </c>
      <c r="J111" s="104" t="str">
        <f>IFERROR(VLOOKUP($B111,NMBS_abonnementen!$G$7:$Q$156,11,FALSE),"-")</f>
        <v xml:space="preserve"> 2974,00</v>
      </c>
      <c r="K111" s="104">
        <f>VLOOKUP($B111,NMBS_ticketten!$G$6:$I$155,3,FALSE)*$B$5*$E$5</f>
        <v>3844.7999999999997</v>
      </c>
      <c r="L111" s="101" t="str">
        <f t="shared" si="32"/>
        <v/>
      </c>
      <c r="M111" s="101">
        <f t="shared" si="33"/>
        <v>2203.2000000000003</v>
      </c>
      <c r="N111" s="103">
        <f t="shared" si="34"/>
        <v>669.6</v>
      </c>
      <c r="O111" s="174"/>
      <c r="P111" s="269">
        <f t="shared" si="50"/>
        <v>2203.2000000000003</v>
      </c>
      <c r="Q111" s="271">
        <f t="shared" si="51"/>
        <v>2203.2000000000003</v>
      </c>
      <c r="R111" s="208">
        <f>IFERROR(VLOOKUP($B111,NMBS_abonnementen!$G$7:$J$156,4,FALSE)*$CS$11,"-")</f>
        <v>4104</v>
      </c>
      <c r="S111" s="209">
        <f t="shared" si="52"/>
        <v>1900.7999999999997</v>
      </c>
      <c r="T111" s="208">
        <f>IFERROR(VLOOKUP($B111,NMBS_abonnementen!$G$7:$N$156,8,FALSE)*$CS$12,"-")</f>
        <v>3804</v>
      </c>
      <c r="U111" s="209">
        <f t="shared" si="53"/>
        <v>1600.7999999999997</v>
      </c>
      <c r="V111" s="210">
        <f>IFERROR(VLOOKUP($B111,NMBS_abonnementen!$G$7:$R$156,12,FALSE)*$CS$13,"-")</f>
        <v>3273</v>
      </c>
      <c r="W111" s="209">
        <f t="shared" si="54"/>
        <v>1069.7999999999997</v>
      </c>
      <c r="X111" s="208">
        <f>IFERROR(VLOOKUP($B111,NMBS_abonnementen!$G$7:$K$156,5,FALSE)*$CS$18,"-")</f>
        <v>3912</v>
      </c>
      <c r="Y111" s="209">
        <f t="shared" si="55"/>
        <v>1708.7999999999997</v>
      </c>
      <c r="Z111" s="208">
        <f>IFERROR(VLOOKUP($B111,NMBS_abonnementen!$G$7:$O$156,9,FALSE)*$CS$19,"-")</f>
        <v>3600</v>
      </c>
      <c r="AA111" s="209">
        <f t="shared" si="56"/>
        <v>1396.7999999999997</v>
      </c>
      <c r="AB111" s="210">
        <f>IFERROR(VLOOKUP($B111,NMBS_abonnementen!$G$7:$S$156,13,FALSE),"-")</f>
        <v>3149</v>
      </c>
      <c r="AC111" s="198">
        <f t="shared" si="64"/>
        <v>720</v>
      </c>
      <c r="AD111" s="198">
        <f t="shared" si="57"/>
        <v>50.399999999999977</v>
      </c>
      <c r="AE111" s="198">
        <f t="shared" si="58"/>
        <v>484</v>
      </c>
      <c r="AF111" s="198">
        <f t="shared" si="59"/>
        <v>-236</v>
      </c>
      <c r="AH111" s="198">
        <f t="shared" si="60"/>
        <v>669.6</v>
      </c>
      <c r="AI111" s="198">
        <f t="shared" si="61"/>
        <v>185.60000000000002</v>
      </c>
      <c r="AJ111" s="198">
        <f t="shared" si="62"/>
        <v>669.6</v>
      </c>
      <c r="AK111" s="198">
        <f t="shared" si="63"/>
        <v>0</v>
      </c>
      <c r="AL111" s="179"/>
      <c r="AM111" s="175"/>
      <c r="AN111" s="175"/>
      <c r="AX111" s="181"/>
      <c r="AY111" s="181"/>
    </row>
    <row r="112" spans="2:51" ht="12" customHeight="1">
      <c r="B112" s="110">
        <v>102</v>
      </c>
      <c r="C112" s="102">
        <f>NMBS_flexabo!$C106*$AR$15</f>
        <v>2628</v>
      </c>
      <c r="D112" s="102">
        <f>NMBS_flexabo!$D106*$AR$22</f>
        <v>2321</v>
      </c>
      <c r="E112" s="102">
        <f>NMBS_flexabo!$E106*VLOOKUP($B$5,$AS$43:$AY$43,7,FALSE)</f>
        <v>2489.4</v>
      </c>
      <c r="F112" s="102">
        <f>NMBS_flexabo!$F106*VLOOKUP($B$5,$AS$45:$AY$48,7,FALSE)</f>
        <v>2439</v>
      </c>
      <c r="G112" s="104">
        <f>IFERROR(VLOOKUP($B112,NMBS_abonnementen!$G$7:$H$156,2,FALSE),"-")*VLOOKUP($B$5,NMBS_halftijds!$P$4:$Q$44,2)</f>
        <v>2450.3731200000002</v>
      </c>
      <c r="H112" s="104">
        <f>IFERROR(VLOOKUP($B112,NMBS_abonnementen!$G$7:$I$156,3,FALSE)*$BB$22,"-")</f>
        <v>3564</v>
      </c>
      <c r="I112" s="104">
        <f>IFERROR(VLOOKUP($B112,NMBS_abonnementen!$G$7:$M$156,7,FALSE)*$BB$23,"-")</f>
        <v>3332</v>
      </c>
      <c r="J112" s="104" t="str">
        <f>IFERROR(VLOOKUP($B112,NMBS_abonnementen!$G$7:$Q$156,11,FALSE),"-")</f>
        <v xml:space="preserve"> 2974,00</v>
      </c>
      <c r="K112" s="104">
        <f>VLOOKUP($B112,NMBS_ticketten!$G$6:$I$155,3,FALSE)*$B$5*$E$5</f>
        <v>3844.7999999999997</v>
      </c>
      <c r="L112" s="101" t="str">
        <f t="shared" si="32"/>
        <v/>
      </c>
      <c r="M112" s="101">
        <f t="shared" si="33"/>
        <v>2203.2000000000003</v>
      </c>
      <c r="N112" s="103">
        <f t="shared" si="34"/>
        <v>669.6</v>
      </c>
      <c r="O112" s="174"/>
      <c r="P112" s="269">
        <f t="shared" si="50"/>
        <v>2203.2000000000003</v>
      </c>
      <c r="Q112" s="271">
        <f t="shared" si="51"/>
        <v>2203.2000000000003</v>
      </c>
      <c r="R112" s="208">
        <f>IFERROR(VLOOKUP($B112,NMBS_abonnementen!$G$7:$J$156,4,FALSE)*$CS$11,"-")</f>
        <v>4104</v>
      </c>
      <c r="S112" s="209">
        <f t="shared" si="52"/>
        <v>1900.7999999999997</v>
      </c>
      <c r="T112" s="208">
        <f>IFERROR(VLOOKUP($B112,NMBS_abonnementen!$G$7:$N$156,8,FALSE)*$CS$12,"-")</f>
        <v>3804</v>
      </c>
      <c r="U112" s="209">
        <f t="shared" si="53"/>
        <v>1600.7999999999997</v>
      </c>
      <c r="V112" s="210">
        <f>IFERROR(VLOOKUP($B112,NMBS_abonnementen!$G$7:$R$156,12,FALSE)*$CS$13,"-")</f>
        <v>3273</v>
      </c>
      <c r="W112" s="209">
        <f t="shared" si="54"/>
        <v>1069.7999999999997</v>
      </c>
      <c r="X112" s="208">
        <f>IFERROR(VLOOKUP($B112,NMBS_abonnementen!$G$7:$K$156,5,FALSE)*$CS$18,"-")</f>
        <v>3912</v>
      </c>
      <c r="Y112" s="209">
        <f t="shared" si="55"/>
        <v>1708.7999999999997</v>
      </c>
      <c r="Z112" s="208">
        <f>IFERROR(VLOOKUP($B112,NMBS_abonnementen!$G$7:$O$156,9,FALSE)*$CS$19,"-")</f>
        <v>3600</v>
      </c>
      <c r="AA112" s="209">
        <f t="shared" si="56"/>
        <v>1396.7999999999997</v>
      </c>
      <c r="AB112" s="210">
        <f>IFERROR(VLOOKUP($B112,NMBS_abonnementen!$G$7:$S$156,13,FALSE),"-")</f>
        <v>3149</v>
      </c>
      <c r="AC112" s="198">
        <f t="shared" si="64"/>
        <v>720</v>
      </c>
      <c r="AD112" s="198">
        <f t="shared" si="57"/>
        <v>50.399999999999977</v>
      </c>
      <c r="AE112" s="198">
        <f t="shared" si="58"/>
        <v>484</v>
      </c>
      <c r="AF112" s="198">
        <f t="shared" si="59"/>
        <v>-236</v>
      </c>
      <c r="AH112" s="198">
        <f t="shared" si="60"/>
        <v>669.6</v>
      </c>
      <c r="AI112" s="198">
        <f t="shared" si="61"/>
        <v>185.60000000000002</v>
      </c>
      <c r="AJ112" s="198">
        <f t="shared" si="62"/>
        <v>669.6</v>
      </c>
      <c r="AK112" s="198">
        <f t="shared" si="63"/>
        <v>0</v>
      </c>
      <c r="AL112" s="179"/>
      <c r="AM112" s="175"/>
      <c r="AN112" s="175"/>
      <c r="AX112" s="181"/>
      <c r="AY112" s="181"/>
    </row>
    <row r="113" spans="2:51" ht="12" customHeight="1">
      <c r="B113" s="110">
        <v>103</v>
      </c>
      <c r="C113" s="102">
        <f>NMBS_flexabo!$C107*$AR$15</f>
        <v>2628</v>
      </c>
      <c r="D113" s="102">
        <f>NMBS_flexabo!$D107*$AR$22</f>
        <v>2321</v>
      </c>
      <c r="E113" s="102">
        <f>NMBS_flexabo!$E107*VLOOKUP($B$5,$AS$43:$AY$43,7,FALSE)</f>
        <v>2489.4</v>
      </c>
      <c r="F113" s="102">
        <f>NMBS_flexabo!$F107*VLOOKUP($B$5,$AS$45:$AY$48,7,FALSE)</f>
        <v>2439</v>
      </c>
      <c r="G113" s="104">
        <f>IFERROR(VLOOKUP($B113,NMBS_abonnementen!$G$7:$H$156,2,FALSE),"-")*VLOOKUP($B$5,NMBS_halftijds!$P$4:$Q$44,2)</f>
        <v>2450.3731200000002</v>
      </c>
      <c r="H113" s="104">
        <f>IFERROR(VLOOKUP($B113,NMBS_abonnementen!$G$7:$I$156,3,FALSE)*$BB$22,"-")</f>
        <v>3564</v>
      </c>
      <c r="I113" s="104">
        <f>IFERROR(VLOOKUP($B113,NMBS_abonnementen!$G$7:$M$156,7,FALSE)*$BB$23,"-")</f>
        <v>3332</v>
      </c>
      <c r="J113" s="104" t="str">
        <f>IFERROR(VLOOKUP($B113,NMBS_abonnementen!$G$7:$Q$156,11,FALSE),"-")</f>
        <v xml:space="preserve"> 2974,00</v>
      </c>
      <c r="K113" s="104">
        <f>VLOOKUP($B113,NMBS_ticketten!$G$6:$I$155,3,FALSE)*$B$5*$E$5</f>
        <v>3844.7999999999997</v>
      </c>
      <c r="L113" s="101" t="str">
        <f t="shared" si="32"/>
        <v/>
      </c>
      <c r="M113" s="101">
        <f t="shared" si="33"/>
        <v>2203.2000000000003</v>
      </c>
      <c r="N113" s="103">
        <f t="shared" si="34"/>
        <v>669.6</v>
      </c>
      <c r="O113" s="174"/>
      <c r="P113" s="269">
        <f t="shared" si="50"/>
        <v>2203.2000000000003</v>
      </c>
      <c r="Q113" s="271">
        <f t="shared" si="51"/>
        <v>2203.2000000000003</v>
      </c>
      <c r="R113" s="208">
        <f>IFERROR(VLOOKUP($B113,NMBS_abonnementen!$G$7:$J$156,4,FALSE)*$CS$11,"-")</f>
        <v>4104</v>
      </c>
      <c r="S113" s="209">
        <f t="shared" si="52"/>
        <v>1900.7999999999997</v>
      </c>
      <c r="T113" s="208">
        <f>IFERROR(VLOOKUP($B113,NMBS_abonnementen!$G$7:$N$156,8,FALSE)*$CS$12,"-")</f>
        <v>3804</v>
      </c>
      <c r="U113" s="209">
        <f t="shared" si="53"/>
        <v>1600.7999999999997</v>
      </c>
      <c r="V113" s="210">
        <f>IFERROR(VLOOKUP($B113,NMBS_abonnementen!$G$7:$R$156,12,FALSE)*$CS$13,"-")</f>
        <v>3273</v>
      </c>
      <c r="W113" s="209">
        <f t="shared" si="54"/>
        <v>1069.7999999999997</v>
      </c>
      <c r="X113" s="208">
        <f>IFERROR(VLOOKUP($B113,NMBS_abonnementen!$G$7:$K$156,5,FALSE)*$CS$18,"-")</f>
        <v>3912</v>
      </c>
      <c r="Y113" s="209">
        <f t="shared" si="55"/>
        <v>1708.7999999999997</v>
      </c>
      <c r="Z113" s="208">
        <f>IFERROR(VLOOKUP($B113,NMBS_abonnementen!$G$7:$O$156,9,FALSE)*$CS$19,"-")</f>
        <v>3600</v>
      </c>
      <c r="AA113" s="209">
        <f t="shared" si="56"/>
        <v>1396.7999999999997</v>
      </c>
      <c r="AB113" s="210">
        <f>IFERROR(VLOOKUP($B113,NMBS_abonnementen!$G$7:$S$156,13,FALSE),"-")</f>
        <v>3149</v>
      </c>
      <c r="AC113" s="198">
        <f t="shared" si="64"/>
        <v>720</v>
      </c>
      <c r="AD113" s="198">
        <f t="shared" si="57"/>
        <v>50.399999999999977</v>
      </c>
      <c r="AE113" s="198">
        <f t="shared" si="58"/>
        <v>484</v>
      </c>
      <c r="AF113" s="198">
        <f t="shared" si="59"/>
        <v>-236</v>
      </c>
      <c r="AH113" s="198">
        <f t="shared" si="60"/>
        <v>669.6</v>
      </c>
      <c r="AI113" s="198">
        <f t="shared" si="61"/>
        <v>185.60000000000002</v>
      </c>
      <c r="AJ113" s="198">
        <f t="shared" si="62"/>
        <v>669.6</v>
      </c>
      <c r="AK113" s="198">
        <f t="shared" si="63"/>
        <v>0</v>
      </c>
      <c r="AL113" s="179"/>
      <c r="AM113" s="175"/>
      <c r="AN113" s="175"/>
      <c r="AX113" s="181"/>
      <c r="AY113" s="181"/>
    </row>
    <row r="114" spans="2:51" ht="12" customHeight="1">
      <c r="B114" s="110">
        <v>104</v>
      </c>
      <c r="C114" s="102">
        <f>NMBS_flexabo!$C108*$AR$15</f>
        <v>2628</v>
      </c>
      <c r="D114" s="102">
        <f>NMBS_flexabo!$D108*$AR$22</f>
        <v>2321</v>
      </c>
      <c r="E114" s="102">
        <f>NMBS_flexabo!$E108*VLOOKUP($B$5,$AS$43:$AY$43,7,FALSE)</f>
        <v>2489.4</v>
      </c>
      <c r="F114" s="102">
        <f>NMBS_flexabo!$F108*VLOOKUP($B$5,$AS$45:$AY$48,7,FALSE)</f>
        <v>2439</v>
      </c>
      <c r="G114" s="104">
        <f>IFERROR(VLOOKUP($B114,NMBS_abonnementen!$G$7:$H$156,2,FALSE),"-")*VLOOKUP($B$5,NMBS_halftijds!$P$4:$Q$44,2)</f>
        <v>2450.3731200000002</v>
      </c>
      <c r="H114" s="104">
        <f>IFERROR(VLOOKUP($B114,NMBS_abonnementen!$G$7:$I$156,3,FALSE)*$BB$22,"-")</f>
        <v>3564</v>
      </c>
      <c r="I114" s="104">
        <f>IFERROR(VLOOKUP($B114,NMBS_abonnementen!$G$7:$M$156,7,FALSE)*$BB$23,"-")</f>
        <v>3332</v>
      </c>
      <c r="J114" s="104" t="str">
        <f>IFERROR(VLOOKUP($B114,NMBS_abonnementen!$G$7:$Q$156,11,FALSE),"-")</f>
        <v xml:space="preserve"> 2974,00</v>
      </c>
      <c r="K114" s="104">
        <f>VLOOKUP($B114,NMBS_ticketten!$G$6:$I$155,3,FALSE)*$B$5*$E$5</f>
        <v>3844.7999999999997</v>
      </c>
      <c r="L114" s="101" t="str">
        <f t="shared" si="32"/>
        <v/>
      </c>
      <c r="M114" s="101">
        <f t="shared" si="33"/>
        <v>2203.2000000000003</v>
      </c>
      <c r="N114" s="103">
        <f t="shared" si="34"/>
        <v>669.6</v>
      </c>
      <c r="O114" s="174"/>
      <c r="P114" s="269">
        <f t="shared" si="50"/>
        <v>2203.2000000000003</v>
      </c>
      <c r="Q114" s="271">
        <f t="shared" si="51"/>
        <v>2203.2000000000003</v>
      </c>
      <c r="R114" s="208">
        <f>IFERROR(VLOOKUP($B114,NMBS_abonnementen!$G$7:$J$156,4,FALSE)*$CS$11,"-")</f>
        <v>4104</v>
      </c>
      <c r="S114" s="209">
        <f t="shared" si="52"/>
        <v>1900.7999999999997</v>
      </c>
      <c r="T114" s="208">
        <f>IFERROR(VLOOKUP($B114,NMBS_abonnementen!$G$7:$N$156,8,FALSE)*$CS$12,"-")</f>
        <v>3804</v>
      </c>
      <c r="U114" s="209">
        <f t="shared" si="53"/>
        <v>1600.7999999999997</v>
      </c>
      <c r="V114" s="210">
        <f>IFERROR(VLOOKUP($B114,NMBS_abonnementen!$G$7:$R$156,12,FALSE)*$CS$13,"-")</f>
        <v>3273</v>
      </c>
      <c r="W114" s="209">
        <f t="shared" si="54"/>
        <v>1069.7999999999997</v>
      </c>
      <c r="X114" s="208">
        <f>IFERROR(VLOOKUP($B114,NMBS_abonnementen!$G$7:$K$156,5,FALSE)*$CS$18,"-")</f>
        <v>3912</v>
      </c>
      <c r="Y114" s="209">
        <f t="shared" si="55"/>
        <v>1708.7999999999997</v>
      </c>
      <c r="Z114" s="208">
        <f>IFERROR(VLOOKUP($B114,NMBS_abonnementen!$G$7:$O$156,9,FALSE)*$CS$19,"-")</f>
        <v>3600</v>
      </c>
      <c r="AA114" s="209">
        <f t="shared" si="56"/>
        <v>1396.7999999999997</v>
      </c>
      <c r="AB114" s="210">
        <f>IFERROR(VLOOKUP($B114,NMBS_abonnementen!$G$7:$S$156,13,FALSE),"-")</f>
        <v>3149</v>
      </c>
      <c r="AC114" s="198">
        <f t="shared" si="64"/>
        <v>720</v>
      </c>
      <c r="AD114" s="198">
        <f t="shared" si="57"/>
        <v>50.399999999999977</v>
      </c>
      <c r="AE114" s="198">
        <f t="shared" si="58"/>
        <v>484</v>
      </c>
      <c r="AF114" s="198">
        <f t="shared" si="59"/>
        <v>-236</v>
      </c>
      <c r="AH114" s="198">
        <f t="shared" si="60"/>
        <v>669.6</v>
      </c>
      <c r="AI114" s="198">
        <f t="shared" si="61"/>
        <v>185.60000000000002</v>
      </c>
      <c r="AJ114" s="198">
        <f t="shared" si="62"/>
        <v>669.6</v>
      </c>
      <c r="AK114" s="198">
        <f t="shared" si="63"/>
        <v>0</v>
      </c>
      <c r="AL114" s="179"/>
      <c r="AM114" s="175"/>
      <c r="AN114" s="175"/>
      <c r="AX114" s="181"/>
      <c r="AY114" s="181"/>
    </row>
    <row r="115" spans="2:51" ht="12" customHeight="1">
      <c r="B115" s="110">
        <v>105</v>
      </c>
      <c r="C115" s="102">
        <f>NMBS_flexabo!$C109*$AR$15</f>
        <v>2628</v>
      </c>
      <c r="D115" s="102">
        <f>NMBS_flexabo!$D109*$AR$22</f>
        <v>2321</v>
      </c>
      <c r="E115" s="102">
        <f>NMBS_flexabo!$E109*VLOOKUP($B$5,$AS$43:$AY$43,7,FALSE)</f>
        <v>2489.4</v>
      </c>
      <c r="F115" s="102">
        <f>NMBS_flexabo!$F109*VLOOKUP($B$5,$AS$45:$AY$48,7,FALSE)</f>
        <v>2439</v>
      </c>
      <c r="G115" s="104">
        <f>IFERROR(VLOOKUP($B115,NMBS_abonnementen!$G$7:$H$156,2,FALSE),"-")*VLOOKUP($B$5,NMBS_halftijds!$P$4:$Q$44,2)</f>
        <v>2450.3731200000002</v>
      </c>
      <c r="H115" s="104">
        <f>IFERROR(VLOOKUP($B115,NMBS_abonnementen!$G$7:$I$156,3,FALSE)*$BB$22,"-")</f>
        <v>3564</v>
      </c>
      <c r="I115" s="104">
        <f>IFERROR(VLOOKUP($B115,NMBS_abonnementen!$G$7:$M$156,7,FALSE)*$BB$23,"-")</f>
        <v>3332</v>
      </c>
      <c r="J115" s="104" t="str">
        <f>IFERROR(VLOOKUP($B115,NMBS_abonnementen!$G$7:$Q$156,11,FALSE),"-")</f>
        <v xml:space="preserve"> 2974,00</v>
      </c>
      <c r="K115" s="104">
        <f>VLOOKUP($B115,NMBS_ticketten!$G$6:$I$155,3,FALSE)*$B$5*$E$5</f>
        <v>3844.7999999999997</v>
      </c>
      <c r="L115" s="101" t="str">
        <f t="shared" si="32"/>
        <v/>
      </c>
      <c r="M115" s="101">
        <f t="shared" si="33"/>
        <v>2203.2000000000003</v>
      </c>
      <c r="N115" s="103">
        <f t="shared" si="34"/>
        <v>669.6</v>
      </c>
      <c r="O115" s="174"/>
      <c r="P115" s="269">
        <f t="shared" si="50"/>
        <v>2203.2000000000003</v>
      </c>
      <c r="Q115" s="271">
        <f t="shared" si="51"/>
        <v>2203.2000000000003</v>
      </c>
      <c r="R115" s="208">
        <f>IFERROR(VLOOKUP($B115,NMBS_abonnementen!$G$7:$J$156,4,FALSE)*$CS$11,"-")</f>
        <v>4104</v>
      </c>
      <c r="S115" s="209">
        <f t="shared" si="52"/>
        <v>1900.7999999999997</v>
      </c>
      <c r="T115" s="208">
        <f>IFERROR(VLOOKUP($B115,NMBS_abonnementen!$G$7:$N$156,8,FALSE)*$CS$12,"-")</f>
        <v>3804</v>
      </c>
      <c r="U115" s="209">
        <f t="shared" si="53"/>
        <v>1600.7999999999997</v>
      </c>
      <c r="V115" s="210">
        <f>IFERROR(VLOOKUP($B115,NMBS_abonnementen!$G$7:$R$156,12,FALSE)*$CS$13,"-")</f>
        <v>3273</v>
      </c>
      <c r="W115" s="209">
        <f t="shared" si="54"/>
        <v>1069.7999999999997</v>
      </c>
      <c r="X115" s="208">
        <f>IFERROR(VLOOKUP($B115,NMBS_abonnementen!$G$7:$K$156,5,FALSE)*$CS$18,"-")</f>
        <v>3912</v>
      </c>
      <c r="Y115" s="209">
        <f t="shared" si="55"/>
        <v>1708.7999999999997</v>
      </c>
      <c r="Z115" s="208">
        <f>IFERROR(VLOOKUP($B115,NMBS_abonnementen!$G$7:$O$156,9,FALSE)*$CS$19,"-")</f>
        <v>3600</v>
      </c>
      <c r="AA115" s="209">
        <f t="shared" si="56"/>
        <v>1396.7999999999997</v>
      </c>
      <c r="AB115" s="210">
        <f>IFERROR(VLOOKUP($B115,NMBS_abonnementen!$G$7:$S$156,13,FALSE),"-")</f>
        <v>3149</v>
      </c>
      <c r="AC115" s="198">
        <f t="shared" si="64"/>
        <v>720</v>
      </c>
      <c r="AD115" s="198">
        <f t="shared" si="57"/>
        <v>50.399999999999977</v>
      </c>
      <c r="AE115" s="198">
        <f t="shared" si="58"/>
        <v>484</v>
      </c>
      <c r="AF115" s="198">
        <f t="shared" si="59"/>
        <v>-236</v>
      </c>
      <c r="AH115" s="198">
        <f t="shared" si="60"/>
        <v>669.6</v>
      </c>
      <c r="AI115" s="198">
        <f t="shared" si="61"/>
        <v>185.60000000000002</v>
      </c>
      <c r="AJ115" s="198">
        <f t="shared" si="62"/>
        <v>669.6</v>
      </c>
      <c r="AK115" s="198">
        <f t="shared" si="63"/>
        <v>0</v>
      </c>
      <c r="AL115" s="179"/>
      <c r="AM115" s="175"/>
      <c r="AN115" s="175"/>
      <c r="AX115" s="181"/>
      <c r="AY115" s="181"/>
    </row>
    <row r="116" spans="2:51" ht="12" customHeight="1">
      <c r="B116" s="110">
        <v>106</v>
      </c>
      <c r="C116" s="102">
        <f>NMBS_flexabo!$C110*$AR$15</f>
        <v>2718</v>
      </c>
      <c r="D116" s="102">
        <f>NMBS_flexabo!$D110*$AR$22</f>
        <v>2398</v>
      </c>
      <c r="E116" s="102">
        <f>NMBS_flexabo!$E110*VLOOKUP($B$5,$AS$43:$AY$43,7,FALSE)</f>
        <v>2571.75</v>
      </c>
      <c r="F116" s="102">
        <f>NMBS_flexabo!$F110*VLOOKUP($B$5,$AS$45:$AY$48,7,FALSE)</f>
        <v>2519</v>
      </c>
      <c r="G116" s="104">
        <f>IFERROR(VLOOKUP($B116,NMBS_abonnementen!$G$7:$H$156,2,FALSE),"-")*VLOOKUP($B$5,NMBS_halftijds!$P$4:$Q$44,2)</f>
        <v>2547.4176000000002</v>
      </c>
      <c r="H116" s="104">
        <f>IFERROR(VLOOKUP($B116,NMBS_abonnementen!$G$7:$I$156,3,FALSE)*$BB$22,"-")</f>
        <v>3684</v>
      </c>
      <c r="I116" s="104">
        <f>IFERROR(VLOOKUP($B116,NMBS_abonnementen!$G$7:$M$156,7,FALSE)*$BB$23,"-")</f>
        <v>3440</v>
      </c>
      <c r="J116" s="104" t="str">
        <f>IFERROR(VLOOKUP($B116,NMBS_abonnementen!$G$7:$Q$156,11,FALSE),"-")</f>
        <v xml:space="preserve"> 3072,00</v>
      </c>
      <c r="K116" s="104">
        <f>VLOOKUP($B116,NMBS_ticketten!$G$6:$I$155,3,FALSE)*$B$5*$E$5</f>
        <v>4017.6</v>
      </c>
      <c r="L116" s="101" t="str">
        <f t="shared" si="32"/>
        <v/>
      </c>
      <c r="M116" s="101">
        <f t="shared" si="33"/>
        <v>2203.2000000000003</v>
      </c>
      <c r="N116" s="103">
        <f t="shared" si="34"/>
        <v>669.6</v>
      </c>
      <c r="O116" s="174"/>
      <c r="P116" s="269">
        <f t="shared" si="50"/>
        <v>2203.2000000000003</v>
      </c>
      <c r="Q116" s="271">
        <f t="shared" si="51"/>
        <v>2203.2000000000003</v>
      </c>
      <c r="R116" s="208">
        <f>IFERROR(VLOOKUP($B116,NMBS_abonnementen!$G$7:$J$156,4,FALSE)*$CS$11,"-")</f>
        <v>4224</v>
      </c>
      <c r="S116" s="209">
        <f t="shared" si="52"/>
        <v>2020.7999999999997</v>
      </c>
      <c r="T116" s="208">
        <f>IFERROR(VLOOKUP($B116,NMBS_abonnementen!$G$7:$N$156,8,FALSE)*$CS$12,"-")</f>
        <v>3912</v>
      </c>
      <c r="U116" s="209">
        <f t="shared" si="53"/>
        <v>1708.7999999999997</v>
      </c>
      <c r="V116" s="210">
        <f>IFERROR(VLOOKUP($B116,NMBS_abonnementen!$G$7:$R$156,12,FALSE)*$CS$13,"-")</f>
        <v>3371</v>
      </c>
      <c r="W116" s="209">
        <f t="shared" si="54"/>
        <v>1167.7999999999997</v>
      </c>
      <c r="X116" s="208">
        <f>IFERROR(VLOOKUP($B116,NMBS_abonnementen!$G$7:$K$156,5,FALSE)*$CS$18,"-")</f>
        <v>4032</v>
      </c>
      <c r="Y116" s="209">
        <f t="shared" si="55"/>
        <v>1828.7999999999997</v>
      </c>
      <c r="Z116" s="208">
        <f>IFERROR(VLOOKUP($B116,NMBS_abonnementen!$G$7:$O$156,9,FALSE)*$CS$19,"-")</f>
        <v>3708</v>
      </c>
      <c r="AA116" s="209">
        <f t="shared" si="56"/>
        <v>1504.7999999999997</v>
      </c>
      <c r="AB116" s="210">
        <f>IFERROR(VLOOKUP($B116,NMBS_abonnementen!$G$7:$S$156,13,FALSE),"-")</f>
        <v>3247</v>
      </c>
      <c r="AC116" s="198">
        <f t="shared" si="64"/>
        <v>720</v>
      </c>
      <c r="AD116" s="198">
        <f t="shared" si="57"/>
        <v>50.399999999999977</v>
      </c>
      <c r="AE116" s="198">
        <f t="shared" si="58"/>
        <v>484</v>
      </c>
      <c r="AF116" s="198">
        <f t="shared" si="59"/>
        <v>-236</v>
      </c>
      <c r="AH116" s="198">
        <f t="shared" si="60"/>
        <v>669.6</v>
      </c>
      <c r="AI116" s="198">
        <f t="shared" si="61"/>
        <v>185.60000000000002</v>
      </c>
      <c r="AJ116" s="198">
        <f t="shared" si="62"/>
        <v>669.6</v>
      </c>
      <c r="AK116" s="198">
        <f t="shared" si="63"/>
        <v>0</v>
      </c>
      <c r="AL116" s="179"/>
      <c r="AM116" s="175"/>
      <c r="AN116" s="175"/>
      <c r="AX116" s="181"/>
      <c r="AY116" s="181"/>
    </row>
    <row r="117" spans="2:51" ht="12" customHeight="1">
      <c r="B117" s="110">
        <v>107</v>
      </c>
      <c r="C117" s="102">
        <f>NMBS_flexabo!$C111*$AR$15</f>
        <v>2718</v>
      </c>
      <c r="D117" s="102">
        <f>NMBS_flexabo!$D111*$AR$22</f>
        <v>2398</v>
      </c>
      <c r="E117" s="102">
        <f>NMBS_flexabo!$E111*VLOOKUP($B$5,$AS$43:$AY$43,7,FALSE)</f>
        <v>2571.75</v>
      </c>
      <c r="F117" s="102">
        <f>NMBS_flexabo!$F111*VLOOKUP($B$5,$AS$45:$AY$48,7,FALSE)</f>
        <v>2519</v>
      </c>
      <c r="G117" s="104">
        <f>IFERROR(VLOOKUP($B117,NMBS_abonnementen!$G$7:$H$156,2,FALSE),"-")*VLOOKUP($B$5,NMBS_halftijds!$P$4:$Q$44,2)</f>
        <v>2547.4176000000002</v>
      </c>
      <c r="H117" s="104">
        <f>IFERROR(VLOOKUP($B117,NMBS_abonnementen!$G$7:$I$156,3,FALSE)*$BB$22,"-")</f>
        <v>3684</v>
      </c>
      <c r="I117" s="104">
        <f>IFERROR(VLOOKUP($B117,NMBS_abonnementen!$G$7:$M$156,7,FALSE)*$BB$23,"-")</f>
        <v>3440</v>
      </c>
      <c r="J117" s="104" t="str">
        <f>IFERROR(VLOOKUP($B117,NMBS_abonnementen!$G$7:$Q$156,11,FALSE),"-")</f>
        <v xml:space="preserve"> 3072,00</v>
      </c>
      <c r="K117" s="104">
        <f>VLOOKUP($B117,NMBS_ticketten!$G$6:$I$155,3,FALSE)*$B$5*$E$5</f>
        <v>4017.6</v>
      </c>
      <c r="L117" s="101" t="str">
        <f t="shared" si="32"/>
        <v/>
      </c>
      <c r="M117" s="101">
        <f t="shared" si="33"/>
        <v>2203.2000000000003</v>
      </c>
      <c r="N117" s="103">
        <f t="shared" si="34"/>
        <v>669.6</v>
      </c>
      <c r="O117" s="174"/>
      <c r="P117" s="269">
        <f t="shared" si="50"/>
        <v>2203.2000000000003</v>
      </c>
      <c r="Q117" s="271">
        <f t="shared" si="51"/>
        <v>2203.2000000000003</v>
      </c>
      <c r="R117" s="208">
        <f>IFERROR(VLOOKUP($B117,NMBS_abonnementen!$G$7:$J$156,4,FALSE)*$CS$11,"-")</f>
        <v>4224</v>
      </c>
      <c r="S117" s="209">
        <f t="shared" si="52"/>
        <v>2020.7999999999997</v>
      </c>
      <c r="T117" s="208">
        <f>IFERROR(VLOOKUP($B117,NMBS_abonnementen!$G$7:$N$156,8,FALSE)*$CS$12,"-")</f>
        <v>3912</v>
      </c>
      <c r="U117" s="209">
        <f t="shared" si="53"/>
        <v>1708.7999999999997</v>
      </c>
      <c r="V117" s="210">
        <f>IFERROR(VLOOKUP($B117,NMBS_abonnementen!$G$7:$R$156,12,FALSE)*$CS$13,"-")</f>
        <v>3371</v>
      </c>
      <c r="W117" s="209">
        <f t="shared" si="54"/>
        <v>1167.7999999999997</v>
      </c>
      <c r="X117" s="208">
        <f>IFERROR(VLOOKUP($B117,NMBS_abonnementen!$G$7:$K$156,5,FALSE)*$CS$18,"-")</f>
        <v>4032</v>
      </c>
      <c r="Y117" s="209">
        <f t="shared" si="55"/>
        <v>1828.7999999999997</v>
      </c>
      <c r="Z117" s="208">
        <f>IFERROR(VLOOKUP($B117,NMBS_abonnementen!$G$7:$O$156,9,FALSE)*$CS$19,"-")</f>
        <v>3708</v>
      </c>
      <c r="AA117" s="209">
        <f t="shared" si="56"/>
        <v>1504.7999999999997</v>
      </c>
      <c r="AB117" s="210">
        <f>IFERROR(VLOOKUP($B117,NMBS_abonnementen!$G$7:$S$156,13,FALSE),"-")</f>
        <v>3247</v>
      </c>
      <c r="AC117" s="198">
        <f t="shared" si="64"/>
        <v>720</v>
      </c>
      <c r="AD117" s="198">
        <f t="shared" si="57"/>
        <v>50.399999999999977</v>
      </c>
      <c r="AE117" s="198">
        <f t="shared" si="58"/>
        <v>484</v>
      </c>
      <c r="AF117" s="198">
        <f t="shared" si="59"/>
        <v>-236</v>
      </c>
      <c r="AH117" s="198">
        <f t="shared" si="60"/>
        <v>669.6</v>
      </c>
      <c r="AI117" s="198">
        <f t="shared" si="61"/>
        <v>185.60000000000002</v>
      </c>
      <c r="AJ117" s="198">
        <f t="shared" si="62"/>
        <v>669.6</v>
      </c>
      <c r="AK117" s="198">
        <f t="shared" si="63"/>
        <v>0</v>
      </c>
      <c r="AL117" s="179"/>
      <c r="AM117" s="175"/>
      <c r="AN117" s="175"/>
      <c r="AX117" s="181"/>
      <c r="AY117" s="181"/>
    </row>
    <row r="118" spans="2:51" ht="12" customHeight="1">
      <c r="B118" s="110">
        <v>108</v>
      </c>
      <c r="C118" s="102">
        <f>NMBS_flexabo!$C112*$AR$15</f>
        <v>2718</v>
      </c>
      <c r="D118" s="102">
        <f>NMBS_flexabo!$D112*$AR$22</f>
        <v>2398</v>
      </c>
      <c r="E118" s="102">
        <f>NMBS_flexabo!$E112*VLOOKUP($B$5,$AS$43:$AY$43,7,FALSE)</f>
        <v>2571.75</v>
      </c>
      <c r="F118" s="102">
        <f>NMBS_flexabo!$F112*VLOOKUP($B$5,$AS$45:$AY$48,7,FALSE)</f>
        <v>2519</v>
      </c>
      <c r="G118" s="104">
        <f>IFERROR(VLOOKUP($B118,NMBS_abonnementen!$G$7:$H$156,2,FALSE),"-")*VLOOKUP($B$5,NMBS_halftijds!$P$4:$Q$44,2)</f>
        <v>2547.4176000000002</v>
      </c>
      <c r="H118" s="104">
        <f>IFERROR(VLOOKUP($B118,NMBS_abonnementen!$G$7:$I$156,3,FALSE)*$BB$22,"-")</f>
        <v>3684</v>
      </c>
      <c r="I118" s="104">
        <f>IFERROR(VLOOKUP($B118,NMBS_abonnementen!$G$7:$M$156,7,FALSE)*$BB$23,"-")</f>
        <v>3440</v>
      </c>
      <c r="J118" s="104" t="str">
        <f>IFERROR(VLOOKUP($B118,NMBS_abonnementen!$G$7:$Q$156,11,FALSE),"-")</f>
        <v xml:space="preserve"> 3072,00</v>
      </c>
      <c r="K118" s="104">
        <f>VLOOKUP($B118,NMBS_ticketten!$G$6:$I$155,3,FALSE)*$B$5*$E$5</f>
        <v>4017.6</v>
      </c>
      <c r="L118" s="101" t="str">
        <f t="shared" si="32"/>
        <v/>
      </c>
      <c r="M118" s="101">
        <f t="shared" si="33"/>
        <v>2203.2000000000003</v>
      </c>
      <c r="N118" s="103">
        <f t="shared" si="34"/>
        <v>669.6</v>
      </c>
      <c r="O118" s="174"/>
      <c r="P118" s="269">
        <f t="shared" si="50"/>
        <v>2203.2000000000003</v>
      </c>
      <c r="Q118" s="271">
        <f t="shared" si="51"/>
        <v>2203.2000000000003</v>
      </c>
      <c r="R118" s="208">
        <f>IFERROR(VLOOKUP($B118,NMBS_abonnementen!$G$7:$J$156,4,FALSE)*$CS$11,"-")</f>
        <v>4224</v>
      </c>
      <c r="S118" s="209">
        <f t="shared" si="52"/>
        <v>2020.7999999999997</v>
      </c>
      <c r="T118" s="208">
        <f>IFERROR(VLOOKUP($B118,NMBS_abonnementen!$G$7:$N$156,8,FALSE)*$CS$12,"-")</f>
        <v>3912</v>
      </c>
      <c r="U118" s="209">
        <f t="shared" si="53"/>
        <v>1708.7999999999997</v>
      </c>
      <c r="V118" s="210">
        <f>IFERROR(VLOOKUP($B118,NMBS_abonnementen!$G$7:$R$156,12,FALSE)*$CS$13,"-")</f>
        <v>3371</v>
      </c>
      <c r="W118" s="209">
        <f t="shared" si="54"/>
        <v>1167.7999999999997</v>
      </c>
      <c r="X118" s="208">
        <f>IFERROR(VLOOKUP($B118,NMBS_abonnementen!$G$7:$K$156,5,FALSE)*$CS$18,"-")</f>
        <v>4032</v>
      </c>
      <c r="Y118" s="209">
        <f t="shared" si="55"/>
        <v>1828.7999999999997</v>
      </c>
      <c r="Z118" s="208">
        <f>IFERROR(VLOOKUP($B118,NMBS_abonnementen!$G$7:$O$156,9,FALSE)*$CS$19,"-")</f>
        <v>3708</v>
      </c>
      <c r="AA118" s="209">
        <f t="shared" si="56"/>
        <v>1504.7999999999997</v>
      </c>
      <c r="AB118" s="210">
        <f>IFERROR(VLOOKUP($B118,NMBS_abonnementen!$G$7:$S$156,13,FALSE),"-")</f>
        <v>3247</v>
      </c>
      <c r="AC118" s="198">
        <f t="shared" si="64"/>
        <v>720</v>
      </c>
      <c r="AD118" s="198">
        <f t="shared" si="57"/>
        <v>50.399999999999977</v>
      </c>
      <c r="AE118" s="198">
        <f t="shared" si="58"/>
        <v>484</v>
      </c>
      <c r="AF118" s="198">
        <f t="shared" si="59"/>
        <v>-236</v>
      </c>
      <c r="AH118" s="198">
        <f t="shared" si="60"/>
        <v>669.6</v>
      </c>
      <c r="AI118" s="198">
        <f t="shared" si="61"/>
        <v>185.60000000000002</v>
      </c>
      <c r="AJ118" s="198">
        <f t="shared" si="62"/>
        <v>669.6</v>
      </c>
      <c r="AK118" s="198">
        <f t="shared" si="63"/>
        <v>0</v>
      </c>
      <c r="AL118" s="179"/>
      <c r="AM118" s="175"/>
      <c r="AN118" s="175"/>
      <c r="AX118" s="181"/>
      <c r="AY118" s="181"/>
    </row>
    <row r="119" spans="2:51" ht="12" customHeight="1">
      <c r="B119" s="110">
        <v>109</v>
      </c>
      <c r="C119" s="102">
        <f>NMBS_flexabo!$C113*$AR$15</f>
        <v>2718</v>
      </c>
      <c r="D119" s="102">
        <f>NMBS_flexabo!$D113*$AR$22</f>
        <v>2398</v>
      </c>
      <c r="E119" s="102">
        <f>NMBS_flexabo!$E113*VLOOKUP($B$5,$AS$43:$AY$43,7,FALSE)</f>
        <v>2571.75</v>
      </c>
      <c r="F119" s="102">
        <f>NMBS_flexabo!$F113*VLOOKUP($B$5,$AS$45:$AY$48,7,FALSE)</f>
        <v>2519</v>
      </c>
      <c r="G119" s="104">
        <f>IFERROR(VLOOKUP($B119,NMBS_abonnementen!$G$7:$H$156,2,FALSE),"-")*VLOOKUP($B$5,NMBS_halftijds!$P$4:$Q$44,2)</f>
        <v>2547.4176000000002</v>
      </c>
      <c r="H119" s="104">
        <f>IFERROR(VLOOKUP($B119,NMBS_abonnementen!$G$7:$I$156,3,FALSE)*$BB$22,"-")</f>
        <v>3684</v>
      </c>
      <c r="I119" s="104">
        <f>IFERROR(VLOOKUP($B119,NMBS_abonnementen!$G$7:$M$156,7,FALSE)*$BB$23,"-")</f>
        <v>3440</v>
      </c>
      <c r="J119" s="104" t="str">
        <f>IFERROR(VLOOKUP($B119,NMBS_abonnementen!$G$7:$Q$156,11,FALSE),"-")</f>
        <v xml:space="preserve"> 3072,00</v>
      </c>
      <c r="K119" s="104">
        <f>VLOOKUP($B119,NMBS_ticketten!$G$6:$I$155,3,FALSE)*$B$5*$E$5</f>
        <v>4017.6</v>
      </c>
      <c r="L119" s="101" t="str">
        <f t="shared" si="32"/>
        <v/>
      </c>
      <c r="M119" s="101">
        <f t="shared" si="33"/>
        <v>2203.2000000000003</v>
      </c>
      <c r="N119" s="103">
        <f t="shared" si="34"/>
        <v>669.6</v>
      </c>
      <c r="O119" s="174"/>
      <c r="P119" s="269">
        <f t="shared" si="50"/>
        <v>2203.2000000000003</v>
      </c>
      <c r="Q119" s="271">
        <f t="shared" si="51"/>
        <v>2203.2000000000003</v>
      </c>
      <c r="R119" s="208">
        <f>IFERROR(VLOOKUP($B119,NMBS_abonnementen!$G$7:$J$156,4,FALSE)*$CS$11,"-")</f>
        <v>4224</v>
      </c>
      <c r="S119" s="209">
        <f t="shared" si="52"/>
        <v>2020.7999999999997</v>
      </c>
      <c r="T119" s="208">
        <f>IFERROR(VLOOKUP($B119,NMBS_abonnementen!$G$7:$N$156,8,FALSE)*$CS$12,"-")</f>
        <v>3912</v>
      </c>
      <c r="U119" s="209">
        <f t="shared" si="53"/>
        <v>1708.7999999999997</v>
      </c>
      <c r="V119" s="210">
        <f>IFERROR(VLOOKUP($B119,NMBS_abonnementen!$G$7:$R$156,12,FALSE)*$CS$13,"-")</f>
        <v>3371</v>
      </c>
      <c r="W119" s="209">
        <f t="shared" si="54"/>
        <v>1167.7999999999997</v>
      </c>
      <c r="X119" s="208">
        <f>IFERROR(VLOOKUP($B119,NMBS_abonnementen!$G$7:$K$156,5,FALSE)*$CS$18,"-")</f>
        <v>4032</v>
      </c>
      <c r="Y119" s="209">
        <f t="shared" si="55"/>
        <v>1828.7999999999997</v>
      </c>
      <c r="Z119" s="208">
        <f>IFERROR(VLOOKUP($B119,NMBS_abonnementen!$G$7:$O$156,9,FALSE)*$CS$19,"-")</f>
        <v>3708</v>
      </c>
      <c r="AA119" s="209">
        <f t="shared" si="56"/>
        <v>1504.7999999999997</v>
      </c>
      <c r="AB119" s="210">
        <f>IFERROR(VLOOKUP($B119,NMBS_abonnementen!$G$7:$S$156,13,FALSE),"-")</f>
        <v>3247</v>
      </c>
      <c r="AC119" s="198">
        <f t="shared" si="64"/>
        <v>720</v>
      </c>
      <c r="AD119" s="198">
        <f t="shared" si="57"/>
        <v>50.399999999999977</v>
      </c>
      <c r="AE119" s="198">
        <f t="shared" si="58"/>
        <v>484</v>
      </c>
      <c r="AF119" s="198">
        <f t="shared" si="59"/>
        <v>-236</v>
      </c>
      <c r="AH119" s="198">
        <f t="shared" si="60"/>
        <v>669.6</v>
      </c>
      <c r="AI119" s="198">
        <f t="shared" si="61"/>
        <v>185.60000000000002</v>
      </c>
      <c r="AJ119" s="198">
        <f t="shared" si="62"/>
        <v>669.6</v>
      </c>
      <c r="AK119" s="198">
        <f t="shared" si="63"/>
        <v>0</v>
      </c>
      <c r="AL119" s="179"/>
      <c r="AM119" s="175"/>
      <c r="AN119" s="175"/>
      <c r="AX119" s="181"/>
      <c r="AY119" s="181"/>
    </row>
    <row r="120" spans="2:51" ht="12" customHeight="1">
      <c r="B120" s="110">
        <v>110</v>
      </c>
      <c r="C120" s="102">
        <f>NMBS_flexabo!$C114*$AR$15</f>
        <v>2718</v>
      </c>
      <c r="D120" s="102">
        <f>NMBS_flexabo!$D114*$AR$22</f>
        <v>2398</v>
      </c>
      <c r="E120" s="102">
        <f>NMBS_flexabo!$E114*VLOOKUP($B$5,$AS$43:$AY$43,7,FALSE)</f>
        <v>2571.75</v>
      </c>
      <c r="F120" s="102">
        <f>NMBS_flexabo!$F114*VLOOKUP($B$5,$AS$45:$AY$48,7,FALSE)</f>
        <v>2519</v>
      </c>
      <c r="G120" s="104">
        <f>IFERROR(VLOOKUP($B120,NMBS_abonnementen!$G$7:$H$156,2,FALSE),"-")*VLOOKUP($B$5,NMBS_halftijds!$P$4:$Q$44,2)</f>
        <v>2547.4176000000002</v>
      </c>
      <c r="H120" s="104">
        <f>IFERROR(VLOOKUP($B120,NMBS_abonnementen!$G$7:$I$156,3,FALSE)*$BB$22,"-")</f>
        <v>3684</v>
      </c>
      <c r="I120" s="104">
        <f>IFERROR(VLOOKUP($B120,NMBS_abonnementen!$G$7:$M$156,7,FALSE)*$BB$23,"-")</f>
        <v>3440</v>
      </c>
      <c r="J120" s="104" t="str">
        <f>IFERROR(VLOOKUP($B120,NMBS_abonnementen!$G$7:$Q$156,11,FALSE),"-")</f>
        <v xml:space="preserve"> 3072,00</v>
      </c>
      <c r="K120" s="104">
        <f>VLOOKUP($B120,NMBS_ticketten!$G$6:$I$155,3,FALSE)*$B$5*$E$5</f>
        <v>4017.6</v>
      </c>
      <c r="L120" s="101" t="str">
        <f t="shared" si="32"/>
        <v/>
      </c>
      <c r="M120" s="101">
        <f t="shared" si="33"/>
        <v>2203.2000000000003</v>
      </c>
      <c r="N120" s="103">
        <f t="shared" si="34"/>
        <v>669.6</v>
      </c>
      <c r="O120" s="174"/>
      <c r="P120" s="269">
        <f t="shared" si="50"/>
        <v>2203.2000000000003</v>
      </c>
      <c r="Q120" s="271">
        <f t="shared" si="51"/>
        <v>2203.2000000000003</v>
      </c>
      <c r="R120" s="208">
        <f>IFERROR(VLOOKUP($B120,NMBS_abonnementen!$G$7:$J$156,4,FALSE)*$CS$11,"-")</f>
        <v>4224</v>
      </c>
      <c r="S120" s="209">
        <f t="shared" si="52"/>
        <v>2020.7999999999997</v>
      </c>
      <c r="T120" s="208">
        <f>IFERROR(VLOOKUP($B120,NMBS_abonnementen!$G$7:$N$156,8,FALSE)*$CS$12,"-")</f>
        <v>3912</v>
      </c>
      <c r="U120" s="209">
        <f t="shared" si="53"/>
        <v>1708.7999999999997</v>
      </c>
      <c r="V120" s="210">
        <f>IFERROR(VLOOKUP($B120,NMBS_abonnementen!$G$7:$R$156,12,FALSE)*$CS$13,"-")</f>
        <v>3371</v>
      </c>
      <c r="W120" s="209">
        <f t="shared" si="54"/>
        <v>1167.7999999999997</v>
      </c>
      <c r="X120" s="208">
        <f>IFERROR(VLOOKUP($B120,NMBS_abonnementen!$G$7:$K$156,5,FALSE)*$CS$18,"-")</f>
        <v>4032</v>
      </c>
      <c r="Y120" s="209">
        <f t="shared" si="55"/>
        <v>1828.7999999999997</v>
      </c>
      <c r="Z120" s="208">
        <f>IFERROR(VLOOKUP($B120,NMBS_abonnementen!$G$7:$O$156,9,FALSE)*$CS$19,"-")</f>
        <v>3708</v>
      </c>
      <c r="AA120" s="209">
        <f t="shared" si="56"/>
        <v>1504.7999999999997</v>
      </c>
      <c r="AB120" s="210">
        <f>IFERROR(VLOOKUP($B120,NMBS_abonnementen!$G$7:$S$156,13,FALSE),"-")</f>
        <v>3247</v>
      </c>
      <c r="AC120" s="198">
        <f t="shared" si="64"/>
        <v>720</v>
      </c>
      <c r="AD120" s="198">
        <f t="shared" si="57"/>
        <v>50.399999999999977</v>
      </c>
      <c r="AE120" s="198">
        <f t="shared" si="58"/>
        <v>484</v>
      </c>
      <c r="AF120" s="198">
        <f t="shared" si="59"/>
        <v>-236</v>
      </c>
      <c r="AH120" s="198">
        <f t="shared" si="60"/>
        <v>669.6</v>
      </c>
      <c r="AI120" s="198">
        <f t="shared" si="61"/>
        <v>185.60000000000002</v>
      </c>
      <c r="AJ120" s="198">
        <f t="shared" si="62"/>
        <v>669.6</v>
      </c>
      <c r="AK120" s="198">
        <f t="shared" si="63"/>
        <v>0</v>
      </c>
      <c r="AL120" s="179"/>
      <c r="AM120" s="175"/>
      <c r="AN120" s="175"/>
      <c r="AX120" s="181"/>
      <c r="AY120" s="181"/>
    </row>
    <row r="121" spans="2:51" ht="12" customHeight="1">
      <c r="B121" s="110">
        <v>111</v>
      </c>
      <c r="C121" s="102">
        <f>NMBS_flexabo!$C115*$AR$15</f>
        <v>2790</v>
      </c>
      <c r="D121" s="102">
        <f>NMBS_flexabo!$D115*$AR$22</f>
        <v>2475</v>
      </c>
      <c r="E121" s="102">
        <f>NMBS_flexabo!$E115*VLOOKUP($B$5,$AS$43:$AY$43,7,FALSE)</f>
        <v>2654.1000000000004</v>
      </c>
      <c r="F121" s="102">
        <f>NMBS_flexabo!$F115*VLOOKUP($B$5,$AS$45:$AY$48,7,FALSE)</f>
        <v>2600</v>
      </c>
      <c r="G121" s="104">
        <f>IFERROR(VLOOKUP($B121,NMBS_abonnementen!$G$7:$H$156,2,FALSE),"-")*VLOOKUP($B$5,NMBS_halftijds!$P$4:$Q$44,2)</f>
        <v>2620.2009600000001</v>
      </c>
      <c r="H121" s="104">
        <f>IFERROR(VLOOKUP($B121,NMBS_abonnementen!$G$7:$I$156,3,FALSE)*$BB$22,"-")</f>
        <v>3804</v>
      </c>
      <c r="I121" s="104">
        <f>IFERROR(VLOOKUP($B121,NMBS_abonnementen!$G$7:$M$156,7,FALSE)*$BB$23,"-")</f>
        <v>3552</v>
      </c>
      <c r="J121" s="104" t="str">
        <f>IFERROR(VLOOKUP($B121,NMBS_abonnementen!$G$7:$Q$156,11,FALSE),"-")</f>
        <v xml:space="preserve"> 3171,00</v>
      </c>
      <c r="K121" s="104">
        <f>VLOOKUP($B121,NMBS_ticketten!$G$6:$I$155,3,FALSE)*$B$5*$E$5</f>
        <v>4190.3999999999996</v>
      </c>
      <c r="L121" s="101" t="str">
        <f t="shared" si="32"/>
        <v/>
      </c>
      <c r="M121" s="101">
        <f t="shared" si="33"/>
        <v>2203.2000000000003</v>
      </c>
      <c r="N121" s="103">
        <f t="shared" si="34"/>
        <v>669.6</v>
      </c>
      <c r="O121" s="174"/>
      <c r="P121" s="269">
        <f t="shared" si="50"/>
        <v>2203.2000000000003</v>
      </c>
      <c r="Q121" s="271">
        <f t="shared" si="51"/>
        <v>2203.2000000000003</v>
      </c>
      <c r="R121" s="208">
        <f>IFERROR(VLOOKUP($B121,NMBS_abonnementen!$G$7:$J$156,4,FALSE)*$CS$11,"-")</f>
        <v>4344</v>
      </c>
      <c r="S121" s="209">
        <f t="shared" si="52"/>
        <v>2140.7999999999997</v>
      </c>
      <c r="T121" s="208">
        <f>IFERROR(VLOOKUP($B121,NMBS_abonnementen!$G$7:$N$156,8,FALSE)*$CS$12,"-")</f>
        <v>4024</v>
      </c>
      <c r="U121" s="209">
        <f t="shared" si="53"/>
        <v>1820.7999999999997</v>
      </c>
      <c r="V121" s="210">
        <f>IFERROR(VLOOKUP($B121,NMBS_abonnementen!$G$7:$R$156,12,FALSE)*$CS$13,"-")</f>
        <v>3470</v>
      </c>
      <c r="W121" s="209">
        <f t="shared" si="54"/>
        <v>1266.7999999999997</v>
      </c>
      <c r="X121" s="208">
        <f>IFERROR(VLOOKUP($B121,NMBS_abonnementen!$G$7:$K$156,5,FALSE)*$CS$18,"-")</f>
        <v>4152</v>
      </c>
      <c r="Y121" s="209">
        <f t="shared" si="55"/>
        <v>1948.7999999999997</v>
      </c>
      <c r="Z121" s="208">
        <f>IFERROR(VLOOKUP($B121,NMBS_abonnementen!$G$7:$O$156,9,FALSE)*$CS$19,"-")</f>
        <v>3820</v>
      </c>
      <c r="AA121" s="209">
        <f t="shared" si="56"/>
        <v>1616.7999999999997</v>
      </c>
      <c r="AB121" s="210">
        <f>IFERROR(VLOOKUP($B121,NMBS_abonnementen!$G$7:$S$156,13,FALSE),"-")</f>
        <v>3346</v>
      </c>
      <c r="AC121" s="198">
        <f t="shared" si="64"/>
        <v>720</v>
      </c>
      <c r="AD121" s="198">
        <f t="shared" si="57"/>
        <v>50.399999999999977</v>
      </c>
      <c r="AE121" s="198">
        <f t="shared" si="58"/>
        <v>484</v>
      </c>
      <c r="AF121" s="198">
        <f t="shared" si="59"/>
        <v>-236</v>
      </c>
      <c r="AH121" s="198">
        <f t="shared" si="60"/>
        <v>669.6</v>
      </c>
      <c r="AI121" s="198">
        <f t="shared" si="61"/>
        <v>185.60000000000002</v>
      </c>
      <c r="AJ121" s="198">
        <f t="shared" si="62"/>
        <v>669.6</v>
      </c>
      <c r="AK121" s="198">
        <f t="shared" si="63"/>
        <v>0</v>
      </c>
      <c r="AL121" s="179"/>
      <c r="AM121" s="175"/>
      <c r="AN121" s="175"/>
      <c r="AX121" s="181"/>
      <c r="AY121" s="181"/>
    </row>
    <row r="122" spans="2:51" ht="12" customHeight="1">
      <c r="B122" s="110">
        <v>112</v>
      </c>
      <c r="C122" s="102">
        <f>NMBS_flexabo!$C116*$AR$15</f>
        <v>2790</v>
      </c>
      <c r="D122" s="102">
        <f>NMBS_flexabo!$D116*$AR$22</f>
        <v>2475</v>
      </c>
      <c r="E122" s="102">
        <f>NMBS_flexabo!$E116*VLOOKUP($B$5,$AS$43:$AY$43,7,FALSE)</f>
        <v>2654.1000000000004</v>
      </c>
      <c r="F122" s="102">
        <f>NMBS_flexabo!$F116*VLOOKUP($B$5,$AS$45:$AY$48,7,FALSE)</f>
        <v>2600</v>
      </c>
      <c r="G122" s="104">
        <f>IFERROR(VLOOKUP($B122,NMBS_abonnementen!$G$7:$H$156,2,FALSE),"-")*VLOOKUP($B$5,NMBS_halftijds!$P$4:$Q$44,2)</f>
        <v>2620.2009600000001</v>
      </c>
      <c r="H122" s="104">
        <f>IFERROR(VLOOKUP($B122,NMBS_abonnementen!$G$7:$I$156,3,FALSE)*$BB$22,"-")</f>
        <v>3804</v>
      </c>
      <c r="I122" s="104">
        <f>IFERROR(VLOOKUP($B122,NMBS_abonnementen!$G$7:$M$156,7,FALSE)*$BB$23,"-")</f>
        <v>3552</v>
      </c>
      <c r="J122" s="104" t="str">
        <f>IFERROR(VLOOKUP($B122,NMBS_abonnementen!$G$7:$Q$156,11,FALSE),"-")</f>
        <v xml:space="preserve"> 3171,00</v>
      </c>
      <c r="K122" s="104">
        <f>VLOOKUP($B122,NMBS_ticketten!$G$6:$I$155,3,FALSE)*$B$5*$E$5</f>
        <v>4190.3999999999996</v>
      </c>
      <c r="L122" s="101" t="str">
        <f t="shared" si="32"/>
        <v/>
      </c>
      <c r="M122" s="101">
        <f t="shared" si="33"/>
        <v>2203.2000000000003</v>
      </c>
      <c r="N122" s="103">
        <f t="shared" si="34"/>
        <v>669.6</v>
      </c>
      <c r="O122" s="174"/>
      <c r="P122" s="269">
        <f t="shared" si="50"/>
        <v>2203.2000000000003</v>
      </c>
      <c r="Q122" s="271">
        <f t="shared" si="51"/>
        <v>2203.2000000000003</v>
      </c>
      <c r="R122" s="208">
        <f>IFERROR(VLOOKUP($B122,NMBS_abonnementen!$G$7:$J$156,4,FALSE)*$CS$11,"-")</f>
        <v>4344</v>
      </c>
      <c r="S122" s="209">
        <f t="shared" si="52"/>
        <v>2140.7999999999997</v>
      </c>
      <c r="T122" s="208">
        <f>IFERROR(VLOOKUP($B122,NMBS_abonnementen!$G$7:$N$156,8,FALSE)*$CS$12,"-")</f>
        <v>4024</v>
      </c>
      <c r="U122" s="209">
        <f t="shared" si="53"/>
        <v>1820.7999999999997</v>
      </c>
      <c r="V122" s="210">
        <f>IFERROR(VLOOKUP($B122,NMBS_abonnementen!$G$7:$R$156,12,FALSE)*$CS$13,"-")</f>
        <v>3470</v>
      </c>
      <c r="W122" s="209">
        <f t="shared" si="54"/>
        <v>1266.7999999999997</v>
      </c>
      <c r="X122" s="208">
        <f>IFERROR(VLOOKUP($B122,NMBS_abonnementen!$G$7:$K$156,5,FALSE)*$CS$18,"-")</f>
        <v>4152</v>
      </c>
      <c r="Y122" s="209">
        <f t="shared" si="55"/>
        <v>1948.7999999999997</v>
      </c>
      <c r="Z122" s="208">
        <f>IFERROR(VLOOKUP($B122,NMBS_abonnementen!$G$7:$O$156,9,FALSE)*$CS$19,"-")</f>
        <v>3820</v>
      </c>
      <c r="AA122" s="209">
        <f t="shared" si="56"/>
        <v>1616.7999999999997</v>
      </c>
      <c r="AB122" s="210">
        <f>IFERROR(VLOOKUP($B122,NMBS_abonnementen!$G$7:$S$156,13,FALSE),"-")</f>
        <v>3346</v>
      </c>
      <c r="AC122" s="198">
        <f t="shared" si="64"/>
        <v>720</v>
      </c>
      <c r="AD122" s="198">
        <f t="shared" si="57"/>
        <v>50.399999999999977</v>
      </c>
      <c r="AE122" s="198">
        <f t="shared" si="58"/>
        <v>484</v>
      </c>
      <c r="AF122" s="198">
        <f t="shared" si="59"/>
        <v>-236</v>
      </c>
      <c r="AH122" s="198">
        <f t="shared" si="60"/>
        <v>669.6</v>
      </c>
      <c r="AI122" s="198">
        <f t="shared" si="61"/>
        <v>185.60000000000002</v>
      </c>
      <c r="AJ122" s="198">
        <f t="shared" si="62"/>
        <v>669.6</v>
      </c>
      <c r="AK122" s="198">
        <f t="shared" si="63"/>
        <v>0</v>
      </c>
      <c r="AL122" s="179"/>
      <c r="AM122" s="175"/>
      <c r="AN122" s="175"/>
      <c r="AX122" s="181"/>
      <c r="AY122" s="181"/>
    </row>
    <row r="123" spans="2:51" ht="12" customHeight="1">
      <c r="B123" s="110">
        <v>113</v>
      </c>
      <c r="C123" s="102">
        <f>NMBS_flexabo!$C117*$AR$15</f>
        <v>2790</v>
      </c>
      <c r="D123" s="102">
        <f>NMBS_flexabo!$D117*$AR$22</f>
        <v>2475</v>
      </c>
      <c r="E123" s="102">
        <f>NMBS_flexabo!$E117*VLOOKUP($B$5,$AS$43:$AY$43,7,FALSE)</f>
        <v>2654.1000000000004</v>
      </c>
      <c r="F123" s="102">
        <f>NMBS_flexabo!$F117*VLOOKUP($B$5,$AS$45:$AY$48,7,FALSE)</f>
        <v>2600</v>
      </c>
      <c r="G123" s="104">
        <f>IFERROR(VLOOKUP($B123,NMBS_abonnementen!$G$7:$H$156,2,FALSE),"-")*VLOOKUP($B$5,NMBS_halftijds!$P$4:$Q$44,2)</f>
        <v>2620.2009600000001</v>
      </c>
      <c r="H123" s="104">
        <f>IFERROR(VLOOKUP($B123,NMBS_abonnementen!$G$7:$I$156,3,FALSE)*$BB$22,"-")</f>
        <v>3804</v>
      </c>
      <c r="I123" s="104">
        <f>IFERROR(VLOOKUP($B123,NMBS_abonnementen!$G$7:$M$156,7,FALSE)*$BB$23,"-")</f>
        <v>3552</v>
      </c>
      <c r="J123" s="104" t="str">
        <f>IFERROR(VLOOKUP($B123,NMBS_abonnementen!$G$7:$Q$156,11,FALSE),"-")</f>
        <v xml:space="preserve"> 3171,00</v>
      </c>
      <c r="K123" s="104">
        <f>VLOOKUP($B123,NMBS_ticketten!$G$6:$I$155,3,FALSE)*$B$5*$E$5</f>
        <v>4190.3999999999996</v>
      </c>
      <c r="L123" s="101" t="str">
        <f t="shared" si="32"/>
        <v/>
      </c>
      <c r="M123" s="101">
        <f t="shared" si="33"/>
        <v>2203.2000000000003</v>
      </c>
      <c r="N123" s="103">
        <f t="shared" si="34"/>
        <v>669.6</v>
      </c>
      <c r="O123" s="174"/>
      <c r="P123" s="269">
        <f t="shared" si="50"/>
        <v>2203.2000000000003</v>
      </c>
      <c r="Q123" s="271">
        <f t="shared" si="51"/>
        <v>2203.2000000000003</v>
      </c>
      <c r="R123" s="208">
        <f>IFERROR(VLOOKUP($B123,NMBS_abonnementen!$G$7:$J$156,4,FALSE)*$CS$11,"-")</f>
        <v>4344</v>
      </c>
      <c r="S123" s="209">
        <f t="shared" si="52"/>
        <v>2140.7999999999997</v>
      </c>
      <c r="T123" s="208">
        <f>IFERROR(VLOOKUP($B123,NMBS_abonnementen!$G$7:$N$156,8,FALSE)*$CS$12,"-")</f>
        <v>4024</v>
      </c>
      <c r="U123" s="209">
        <f t="shared" si="53"/>
        <v>1820.7999999999997</v>
      </c>
      <c r="V123" s="210">
        <f>IFERROR(VLOOKUP($B123,NMBS_abonnementen!$G$7:$R$156,12,FALSE)*$CS$13,"-")</f>
        <v>3470</v>
      </c>
      <c r="W123" s="209">
        <f t="shared" si="54"/>
        <v>1266.7999999999997</v>
      </c>
      <c r="X123" s="208">
        <f>IFERROR(VLOOKUP($B123,NMBS_abonnementen!$G$7:$K$156,5,FALSE)*$CS$18,"-")</f>
        <v>4152</v>
      </c>
      <c r="Y123" s="209">
        <f t="shared" si="55"/>
        <v>1948.7999999999997</v>
      </c>
      <c r="Z123" s="208">
        <f>IFERROR(VLOOKUP($B123,NMBS_abonnementen!$G$7:$O$156,9,FALSE)*$CS$19,"-")</f>
        <v>3820</v>
      </c>
      <c r="AA123" s="209">
        <f t="shared" si="56"/>
        <v>1616.7999999999997</v>
      </c>
      <c r="AB123" s="210">
        <f>IFERROR(VLOOKUP($B123,NMBS_abonnementen!$G$7:$S$156,13,FALSE),"-")</f>
        <v>3346</v>
      </c>
      <c r="AC123" s="198">
        <f t="shared" si="64"/>
        <v>720</v>
      </c>
      <c r="AD123" s="198">
        <f t="shared" si="57"/>
        <v>50.399999999999977</v>
      </c>
      <c r="AE123" s="198">
        <f t="shared" si="58"/>
        <v>484</v>
      </c>
      <c r="AF123" s="198">
        <f t="shared" si="59"/>
        <v>-236</v>
      </c>
      <c r="AH123" s="198">
        <f t="shared" si="60"/>
        <v>669.6</v>
      </c>
      <c r="AI123" s="198">
        <f t="shared" si="61"/>
        <v>185.60000000000002</v>
      </c>
      <c r="AJ123" s="198">
        <f t="shared" si="62"/>
        <v>669.6</v>
      </c>
      <c r="AK123" s="198">
        <f t="shared" si="63"/>
        <v>0</v>
      </c>
      <c r="AL123" s="179"/>
      <c r="AM123" s="175"/>
      <c r="AN123" s="175"/>
      <c r="AX123" s="181"/>
      <c r="AY123" s="181"/>
    </row>
    <row r="124" spans="2:51" ht="12" customHeight="1">
      <c r="B124" s="110">
        <v>114</v>
      </c>
      <c r="C124" s="102">
        <f>NMBS_flexabo!$C118*$AR$15</f>
        <v>2790</v>
      </c>
      <c r="D124" s="102">
        <f>NMBS_flexabo!$D118*$AR$22</f>
        <v>2475</v>
      </c>
      <c r="E124" s="102">
        <f>NMBS_flexabo!$E118*VLOOKUP($B$5,$AS$43:$AY$43,7,FALSE)</f>
        <v>2654.1000000000004</v>
      </c>
      <c r="F124" s="102">
        <f>NMBS_flexabo!$F118*VLOOKUP($B$5,$AS$45:$AY$48,7,FALSE)</f>
        <v>2600</v>
      </c>
      <c r="G124" s="104">
        <f>IFERROR(VLOOKUP($B124,NMBS_abonnementen!$G$7:$H$156,2,FALSE),"-")*VLOOKUP($B$5,NMBS_halftijds!$P$4:$Q$44,2)</f>
        <v>2620.2009600000001</v>
      </c>
      <c r="H124" s="104">
        <f>IFERROR(VLOOKUP($B124,NMBS_abonnementen!$G$7:$I$156,3,FALSE)*$BB$22,"-")</f>
        <v>3804</v>
      </c>
      <c r="I124" s="104">
        <f>IFERROR(VLOOKUP($B124,NMBS_abonnementen!$G$7:$M$156,7,FALSE)*$BB$23,"-")</f>
        <v>3552</v>
      </c>
      <c r="J124" s="104" t="str">
        <f>IFERROR(VLOOKUP($B124,NMBS_abonnementen!$G$7:$Q$156,11,FALSE),"-")</f>
        <v xml:space="preserve"> 3171,00</v>
      </c>
      <c r="K124" s="104">
        <f>VLOOKUP($B124,NMBS_ticketten!$G$6:$I$155,3,FALSE)*$B$5*$E$5</f>
        <v>4190.3999999999996</v>
      </c>
      <c r="L124" s="101" t="str">
        <f t="shared" si="32"/>
        <v/>
      </c>
      <c r="M124" s="101">
        <f t="shared" si="33"/>
        <v>2203.2000000000003</v>
      </c>
      <c r="N124" s="103">
        <f t="shared" si="34"/>
        <v>669.6</v>
      </c>
      <c r="O124" s="174"/>
      <c r="P124" s="269">
        <f t="shared" si="50"/>
        <v>2203.2000000000003</v>
      </c>
      <c r="Q124" s="271">
        <f t="shared" si="51"/>
        <v>2203.2000000000003</v>
      </c>
      <c r="R124" s="208">
        <f>IFERROR(VLOOKUP($B124,NMBS_abonnementen!$G$7:$J$156,4,FALSE)*$CS$11,"-")</f>
        <v>4344</v>
      </c>
      <c r="S124" s="209">
        <f t="shared" si="52"/>
        <v>2140.7999999999997</v>
      </c>
      <c r="T124" s="208">
        <f>IFERROR(VLOOKUP($B124,NMBS_abonnementen!$G$7:$N$156,8,FALSE)*$CS$12,"-")</f>
        <v>4024</v>
      </c>
      <c r="U124" s="209">
        <f t="shared" si="53"/>
        <v>1820.7999999999997</v>
      </c>
      <c r="V124" s="210">
        <f>IFERROR(VLOOKUP($B124,NMBS_abonnementen!$G$7:$R$156,12,FALSE)*$CS$13,"-")</f>
        <v>3470</v>
      </c>
      <c r="W124" s="209">
        <f t="shared" si="54"/>
        <v>1266.7999999999997</v>
      </c>
      <c r="X124" s="208">
        <f>IFERROR(VLOOKUP($B124,NMBS_abonnementen!$G$7:$K$156,5,FALSE)*$CS$18,"-")</f>
        <v>4152</v>
      </c>
      <c r="Y124" s="209">
        <f t="shared" si="55"/>
        <v>1948.7999999999997</v>
      </c>
      <c r="Z124" s="208">
        <f>IFERROR(VLOOKUP($B124,NMBS_abonnementen!$G$7:$O$156,9,FALSE)*$CS$19,"-")</f>
        <v>3820</v>
      </c>
      <c r="AA124" s="209">
        <f t="shared" si="56"/>
        <v>1616.7999999999997</v>
      </c>
      <c r="AB124" s="210">
        <f>IFERROR(VLOOKUP($B124,NMBS_abonnementen!$G$7:$S$156,13,FALSE),"-")</f>
        <v>3346</v>
      </c>
      <c r="AC124" s="198">
        <f t="shared" si="64"/>
        <v>720</v>
      </c>
      <c r="AD124" s="198">
        <f t="shared" si="57"/>
        <v>50.399999999999977</v>
      </c>
      <c r="AE124" s="198">
        <f t="shared" si="58"/>
        <v>484</v>
      </c>
      <c r="AF124" s="198">
        <f t="shared" si="59"/>
        <v>-236</v>
      </c>
      <c r="AH124" s="198">
        <f t="shared" si="60"/>
        <v>669.6</v>
      </c>
      <c r="AI124" s="198">
        <f t="shared" si="61"/>
        <v>185.60000000000002</v>
      </c>
      <c r="AJ124" s="198">
        <f t="shared" si="62"/>
        <v>669.6</v>
      </c>
      <c r="AK124" s="198">
        <f t="shared" si="63"/>
        <v>0</v>
      </c>
      <c r="AL124" s="179"/>
      <c r="AM124" s="175"/>
      <c r="AN124" s="175"/>
      <c r="AX124" s="181"/>
      <c r="AY124" s="181"/>
    </row>
    <row r="125" spans="2:51" ht="12" customHeight="1">
      <c r="B125" s="110">
        <v>115</v>
      </c>
      <c r="C125" s="102">
        <f>NMBS_flexabo!$C119*$AR$15</f>
        <v>2790</v>
      </c>
      <c r="D125" s="102">
        <f>NMBS_flexabo!$D119*$AR$22</f>
        <v>2475</v>
      </c>
      <c r="E125" s="102">
        <f>NMBS_flexabo!$E119*VLOOKUP($B$5,$AS$43:$AY$43,7,FALSE)</f>
        <v>2654.1000000000004</v>
      </c>
      <c r="F125" s="102">
        <f>NMBS_flexabo!$F119*VLOOKUP($B$5,$AS$45:$AY$48,7,FALSE)</f>
        <v>2600</v>
      </c>
      <c r="G125" s="104">
        <f>IFERROR(VLOOKUP($B125,NMBS_abonnementen!$G$7:$H$156,2,FALSE),"-")*VLOOKUP($B$5,NMBS_halftijds!$P$4:$Q$44,2)</f>
        <v>2620.2009600000001</v>
      </c>
      <c r="H125" s="104">
        <f>IFERROR(VLOOKUP($B125,NMBS_abonnementen!$G$7:$I$156,3,FALSE)*$BB$22,"-")</f>
        <v>3804</v>
      </c>
      <c r="I125" s="104">
        <f>IFERROR(VLOOKUP($B125,NMBS_abonnementen!$G$7:$M$156,7,FALSE)*$BB$23,"-")</f>
        <v>3552</v>
      </c>
      <c r="J125" s="104" t="str">
        <f>IFERROR(VLOOKUP($B125,NMBS_abonnementen!$G$7:$Q$156,11,FALSE),"-")</f>
        <v xml:space="preserve"> 3171,00</v>
      </c>
      <c r="K125" s="104">
        <f>VLOOKUP($B125,NMBS_ticketten!$G$6:$I$155,3,FALSE)*$B$5*$E$5</f>
        <v>4190.3999999999996</v>
      </c>
      <c r="L125" s="101" t="str">
        <f t="shared" si="32"/>
        <v/>
      </c>
      <c r="M125" s="101">
        <f t="shared" si="33"/>
        <v>2203.2000000000003</v>
      </c>
      <c r="N125" s="103">
        <f t="shared" si="34"/>
        <v>669.6</v>
      </c>
      <c r="O125" s="174"/>
      <c r="P125" s="269">
        <f t="shared" si="50"/>
        <v>2203.2000000000003</v>
      </c>
      <c r="Q125" s="271">
        <f t="shared" si="51"/>
        <v>2203.2000000000003</v>
      </c>
      <c r="R125" s="208">
        <f>IFERROR(VLOOKUP($B125,NMBS_abonnementen!$G$7:$J$156,4,FALSE)*$CS$11,"-")</f>
        <v>4344</v>
      </c>
      <c r="S125" s="209">
        <f t="shared" si="52"/>
        <v>2140.7999999999997</v>
      </c>
      <c r="T125" s="208">
        <f>IFERROR(VLOOKUP($B125,NMBS_abonnementen!$G$7:$N$156,8,FALSE)*$CS$12,"-")</f>
        <v>4024</v>
      </c>
      <c r="U125" s="209">
        <f t="shared" si="53"/>
        <v>1820.7999999999997</v>
      </c>
      <c r="V125" s="210">
        <f>IFERROR(VLOOKUP($B125,NMBS_abonnementen!$G$7:$R$156,12,FALSE)*$CS$13,"-")</f>
        <v>3470</v>
      </c>
      <c r="W125" s="209">
        <f t="shared" si="54"/>
        <v>1266.7999999999997</v>
      </c>
      <c r="X125" s="208">
        <f>IFERROR(VLOOKUP($B125,NMBS_abonnementen!$G$7:$K$156,5,FALSE)*$CS$18,"-")</f>
        <v>4152</v>
      </c>
      <c r="Y125" s="209">
        <f t="shared" si="55"/>
        <v>1948.7999999999997</v>
      </c>
      <c r="Z125" s="208">
        <f>IFERROR(VLOOKUP($B125,NMBS_abonnementen!$G$7:$O$156,9,FALSE)*$CS$19,"-")</f>
        <v>3820</v>
      </c>
      <c r="AA125" s="209">
        <f t="shared" si="56"/>
        <v>1616.7999999999997</v>
      </c>
      <c r="AB125" s="210">
        <f>IFERROR(VLOOKUP($B125,NMBS_abonnementen!$G$7:$S$156,13,FALSE),"-")</f>
        <v>3346</v>
      </c>
      <c r="AC125" s="198">
        <f t="shared" si="64"/>
        <v>720</v>
      </c>
      <c r="AD125" s="198">
        <f t="shared" si="57"/>
        <v>50.399999999999977</v>
      </c>
      <c r="AE125" s="198">
        <f t="shared" si="58"/>
        <v>484</v>
      </c>
      <c r="AF125" s="198">
        <f t="shared" si="59"/>
        <v>-236</v>
      </c>
      <c r="AH125" s="198">
        <f t="shared" si="60"/>
        <v>669.6</v>
      </c>
      <c r="AI125" s="198">
        <f t="shared" si="61"/>
        <v>185.60000000000002</v>
      </c>
      <c r="AJ125" s="198">
        <f t="shared" si="62"/>
        <v>669.6</v>
      </c>
      <c r="AK125" s="198">
        <f t="shared" si="63"/>
        <v>0</v>
      </c>
      <c r="AL125" s="179"/>
      <c r="AM125" s="175"/>
      <c r="AN125" s="175"/>
      <c r="AX125" s="181"/>
      <c r="AY125" s="181"/>
    </row>
    <row r="126" spans="2:51" ht="12" customHeight="1">
      <c r="B126" s="110">
        <v>116</v>
      </c>
      <c r="C126" s="102">
        <f>NMBS_flexabo!$C120*$AR$15</f>
        <v>2880</v>
      </c>
      <c r="D126" s="102">
        <f>NMBS_flexabo!$D120*$AR$22</f>
        <v>2552</v>
      </c>
      <c r="E126" s="102">
        <f>NMBS_flexabo!$E120*VLOOKUP($B$5,$AS$43:$AY$43,7,FALSE)</f>
        <v>2736.4500000000003</v>
      </c>
      <c r="F126" s="102">
        <f>NMBS_flexabo!$F120*VLOOKUP($B$5,$AS$45:$AY$48,7,FALSE)</f>
        <v>2681</v>
      </c>
      <c r="G126" s="104">
        <f>IFERROR(VLOOKUP($B126,NMBS_abonnementen!$G$7:$H$156,2,FALSE),"-")*VLOOKUP($B$5,NMBS_halftijds!$P$4:$Q$44,2)</f>
        <v>2692.98432</v>
      </c>
      <c r="H126" s="104">
        <f>IFERROR(VLOOKUP($B126,NMBS_abonnementen!$G$7:$I$156,3,FALSE)*$BB$22,"-")</f>
        <v>3924</v>
      </c>
      <c r="I126" s="104">
        <f>IFERROR(VLOOKUP($B126,NMBS_abonnementen!$G$7:$M$156,7,FALSE)*$BB$23,"-")</f>
        <v>3660</v>
      </c>
      <c r="J126" s="104" t="str">
        <f>IFERROR(VLOOKUP($B126,NMBS_abonnementen!$G$7:$Q$156,11,FALSE),"-")</f>
        <v xml:space="preserve"> 3270,00</v>
      </c>
      <c r="K126" s="104">
        <f>VLOOKUP($B126,NMBS_ticketten!$G$6:$I$155,3,FALSE)*$B$5*$E$5</f>
        <v>4363.2</v>
      </c>
      <c r="L126" s="101" t="str">
        <f t="shared" si="32"/>
        <v/>
      </c>
      <c r="M126" s="101">
        <f t="shared" si="33"/>
        <v>2203.2000000000003</v>
      </c>
      <c r="N126" s="103">
        <f t="shared" si="34"/>
        <v>669.6</v>
      </c>
      <c r="O126" s="174"/>
      <c r="P126" s="269">
        <f t="shared" si="50"/>
        <v>2203.2000000000003</v>
      </c>
      <c r="Q126" s="271">
        <f t="shared" si="51"/>
        <v>2203.2000000000003</v>
      </c>
      <c r="R126" s="208">
        <f>IFERROR(VLOOKUP($B126,NMBS_abonnementen!$G$7:$J$156,4,FALSE)*$CS$11,"-")</f>
        <v>4464</v>
      </c>
      <c r="S126" s="209">
        <f t="shared" si="52"/>
        <v>2260.7999999999997</v>
      </c>
      <c r="T126" s="208">
        <f>IFERROR(VLOOKUP($B126,NMBS_abonnementen!$G$7:$N$156,8,FALSE)*$CS$12,"-")</f>
        <v>4132</v>
      </c>
      <c r="U126" s="209">
        <f t="shared" si="53"/>
        <v>1928.7999999999997</v>
      </c>
      <c r="V126" s="210">
        <f>IFERROR(VLOOKUP($B126,NMBS_abonnementen!$G$7:$R$156,12,FALSE)*$CS$13,"-")</f>
        <v>3569</v>
      </c>
      <c r="W126" s="209">
        <f t="shared" si="54"/>
        <v>1365.7999999999997</v>
      </c>
      <c r="X126" s="208">
        <f>IFERROR(VLOOKUP($B126,NMBS_abonnementen!$G$7:$K$156,5,FALSE)*$CS$18,"-")</f>
        <v>4272</v>
      </c>
      <c r="Y126" s="209">
        <f t="shared" si="55"/>
        <v>2068.7999999999997</v>
      </c>
      <c r="Z126" s="208">
        <f>IFERROR(VLOOKUP($B126,NMBS_abonnementen!$G$7:$O$156,9,FALSE)*$CS$19,"-")</f>
        <v>3928</v>
      </c>
      <c r="AA126" s="209">
        <f t="shared" si="56"/>
        <v>1724.7999999999997</v>
      </c>
      <c r="AB126" s="210">
        <f>IFERROR(VLOOKUP($B126,NMBS_abonnementen!$G$7:$S$156,13,FALSE),"-")</f>
        <v>3445</v>
      </c>
      <c r="AC126" s="198">
        <f t="shared" si="64"/>
        <v>720</v>
      </c>
      <c r="AD126" s="198">
        <f t="shared" si="57"/>
        <v>50.399999999999977</v>
      </c>
      <c r="AE126" s="198">
        <f t="shared" si="58"/>
        <v>484</v>
      </c>
      <c r="AF126" s="198">
        <f t="shared" si="59"/>
        <v>-236</v>
      </c>
      <c r="AH126" s="198">
        <f t="shared" si="60"/>
        <v>669.6</v>
      </c>
      <c r="AI126" s="198">
        <f t="shared" si="61"/>
        <v>185.60000000000002</v>
      </c>
      <c r="AJ126" s="198">
        <f t="shared" si="62"/>
        <v>669.6</v>
      </c>
      <c r="AK126" s="198">
        <f t="shared" si="63"/>
        <v>0</v>
      </c>
      <c r="AL126" s="179"/>
      <c r="AM126" s="175"/>
      <c r="AN126" s="175"/>
      <c r="AX126" s="181"/>
      <c r="AY126" s="181"/>
    </row>
    <row r="127" spans="2:51" ht="12" customHeight="1">
      <c r="B127" s="110">
        <v>117</v>
      </c>
      <c r="C127" s="102">
        <f>NMBS_flexabo!$C121*$AR$15</f>
        <v>2880</v>
      </c>
      <c r="D127" s="102">
        <f>NMBS_flexabo!$D121*$AR$22</f>
        <v>2552</v>
      </c>
      <c r="E127" s="102">
        <f>NMBS_flexabo!$E121*VLOOKUP($B$5,$AS$43:$AY$43,7,FALSE)</f>
        <v>2736.4500000000003</v>
      </c>
      <c r="F127" s="102">
        <f>NMBS_flexabo!$F121*VLOOKUP($B$5,$AS$45:$AY$48,7,FALSE)</f>
        <v>2681</v>
      </c>
      <c r="G127" s="104">
        <f>IFERROR(VLOOKUP($B127,NMBS_abonnementen!$G$7:$H$156,2,FALSE),"-")*VLOOKUP($B$5,NMBS_halftijds!$P$4:$Q$44,2)</f>
        <v>2692.98432</v>
      </c>
      <c r="H127" s="104">
        <f>IFERROR(VLOOKUP($B127,NMBS_abonnementen!$G$7:$I$156,3,FALSE)*$BB$22,"-")</f>
        <v>3924</v>
      </c>
      <c r="I127" s="104">
        <f>IFERROR(VLOOKUP($B127,NMBS_abonnementen!$G$7:$M$156,7,FALSE)*$BB$23,"-")</f>
        <v>3660</v>
      </c>
      <c r="J127" s="104" t="str">
        <f>IFERROR(VLOOKUP($B127,NMBS_abonnementen!$G$7:$Q$156,11,FALSE),"-")</f>
        <v xml:space="preserve"> 3270,00</v>
      </c>
      <c r="K127" s="104">
        <f>VLOOKUP($B127,NMBS_ticketten!$G$6:$I$155,3,FALSE)*$B$5*$E$5</f>
        <v>4363.2</v>
      </c>
      <c r="L127" s="101" t="str">
        <f t="shared" si="32"/>
        <v/>
      </c>
      <c r="M127" s="101">
        <f t="shared" si="33"/>
        <v>2203.2000000000003</v>
      </c>
      <c r="N127" s="103">
        <f t="shared" si="34"/>
        <v>669.6</v>
      </c>
      <c r="O127" s="174"/>
      <c r="P127" s="269">
        <f t="shared" si="50"/>
        <v>2203.2000000000003</v>
      </c>
      <c r="Q127" s="271">
        <f t="shared" si="51"/>
        <v>2203.2000000000003</v>
      </c>
      <c r="R127" s="208">
        <f>IFERROR(VLOOKUP($B127,NMBS_abonnementen!$G$7:$J$156,4,FALSE)*$CS$11,"-")</f>
        <v>4464</v>
      </c>
      <c r="S127" s="209">
        <f t="shared" si="52"/>
        <v>2260.7999999999997</v>
      </c>
      <c r="T127" s="208">
        <f>IFERROR(VLOOKUP($B127,NMBS_abonnementen!$G$7:$N$156,8,FALSE)*$CS$12,"-")</f>
        <v>4132</v>
      </c>
      <c r="U127" s="209">
        <f t="shared" si="53"/>
        <v>1928.7999999999997</v>
      </c>
      <c r="V127" s="210">
        <f>IFERROR(VLOOKUP($B127,NMBS_abonnementen!$G$7:$R$156,12,FALSE)*$CS$13,"-")</f>
        <v>3569</v>
      </c>
      <c r="W127" s="209">
        <f t="shared" si="54"/>
        <v>1365.7999999999997</v>
      </c>
      <c r="X127" s="208">
        <f>IFERROR(VLOOKUP($B127,NMBS_abonnementen!$G$7:$K$156,5,FALSE)*$CS$18,"-")</f>
        <v>4272</v>
      </c>
      <c r="Y127" s="209">
        <f t="shared" si="55"/>
        <v>2068.7999999999997</v>
      </c>
      <c r="Z127" s="208">
        <f>IFERROR(VLOOKUP($B127,NMBS_abonnementen!$G$7:$O$156,9,FALSE)*$CS$19,"-")</f>
        <v>3928</v>
      </c>
      <c r="AA127" s="209">
        <f t="shared" si="56"/>
        <v>1724.7999999999997</v>
      </c>
      <c r="AB127" s="210">
        <f>IFERROR(VLOOKUP($B127,NMBS_abonnementen!$G$7:$S$156,13,FALSE),"-")</f>
        <v>3445</v>
      </c>
      <c r="AC127" s="198">
        <f t="shared" si="64"/>
        <v>720</v>
      </c>
      <c r="AD127" s="198">
        <f t="shared" si="57"/>
        <v>50.399999999999977</v>
      </c>
      <c r="AE127" s="198">
        <f t="shared" si="58"/>
        <v>484</v>
      </c>
      <c r="AF127" s="198">
        <f t="shared" si="59"/>
        <v>-236</v>
      </c>
      <c r="AH127" s="198">
        <f t="shared" si="60"/>
        <v>669.6</v>
      </c>
      <c r="AI127" s="198">
        <f t="shared" si="61"/>
        <v>185.60000000000002</v>
      </c>
      <c r="AJ127" s="198">
        <f t="shared" si="62"/>
        <v>669.6</v>
      </c>
      <c r="AK127" s="198">
        <f t="shared" si="63"/>
        <v>0</v>
      </c>
      <c r="AL127" s="179"/>
      <c r="AM127" s="175"/>
      <c r="AN127" s="175"/>
      <c r="AX127" s="181"/>
      <c r="AY127" s="181"/>
    </row>
    <row r="128" spans="2:51" ht="12" customHeight="1">
      <c r="B128" s="110">
        <v>118</v>
      </c>
      <c r="C128" s="102">
        <f>NMBS_flexabo!$C122*$AR$15</f>
        <v>2880</v>
      </c>
      <c r="D128" s="102">
        <f>NMBS_flexabo!$D122*$AR$22</f>
        <v>2552</v>
      </c>
      <c r="E128" s="102">
        <f>NMBS_flexabo!$E122*VLOOKUP($B$5,$AS$43:$AY$43,7,FALSE)</f>
        <v>2736.4500000000003</v>
      </c>
      <c r="F128" s="102">
        <f>NMBS_flexabo!$F122*VLOOKUP($B$5,$AS$45:$AY$48,7,FALSE)</f>
        <v>2681</v>
      </c>
      <c r="G128" s="104">
        <f>IFERROR(VLOOKUP($B128,NMBS_abonnementen!$G$7:$H$156,2,FALSE),"-")*VLOOKUP($B$5,NMBS_halftijds!$P$4:$Q$44,2)</f>
        <v>2692.98432</v>
      </c>
      <c r="H128" s="104">
        <f>IFERROR(VLOOKUP($B128,NMBS_abonnementen!$G$7:$I$156,3,FALSE)*$BB$22,"-")</f>
        <v>3924</v>
      </c>
      <c r="I128" s="104">
        <f>IFERROR(VLOOKUP($B128,NMBS_abonnementen!$G$7:$M$156,7,FALSE)*$BB$23,"-")</f>
        <v>3660</v>
      </c>
      <c r="J128" s="104" t="str">
        <f>IFERROR(VLOOKUP($B128,NMBS_abonnementen!$G$7:$Q$156,11,FALSE),"-")</f>
        <v xml:space="preserve"> 3270,00</v>
      </c>
      <c r="K128" s="104">
        <f>VLOOKUP($B128,NMBS_ticketten!$G$6:$I$155,3,FALSE)*$B$5*$E$5</f>
        <v>4363.2</v>
      </c>
      <c r="L128" s="101" t="str">
        <f t="shared" si="32"/>
        <v/>
      </c>
      <c r="M128" s="101">
        <f t="shared" si="33"/>
        <v>2203.2000000000003</v>
      </c>
      <c r="N128" s="103">
        <f t="shared" si="34"/>
        <v>669.6</v>
      </c>
      <c r="O128" s="174"/>
      <c r="P128" s="269">
        <f t="shared" si="50"/>
        <v>2203.2000000000003</v>
      </c>
      <c r="Q128" s="271">
        <f t="shared" si="51"/>
        <v>2203.2000000000003</v>
      </c>
      <c r="R128" s="208">
        <f>IFERROR(VLOOKUP($B128,NMBS_abonnementen!$G$7:$J$156,4,FALSE)*$CS$11,"-")</f>
        <v>4464</v>
      </c>
      <c r="S128" s="209">
        <f t="shared" si="52"/>
        <v>2260.7999999999997</v>
      </c>
      <c r="T128" s="208">
        <f>IFERROR(VLOOKUP($B128,NMBS_abonnementen!$G$7:$N$156,8,FALSE)*$CS$12,"-")</f>
        <v>4132</v>
      </c>
      <c r="U128" s="209">
        <f t="shared" si="53"/>
        <v>1928.7999999999997</v>
      </c>
      <c r="V128" s="210">
        <f>IFERROR(VLOOKUP($B128,NMBS_abonnementen!$G$7:$R$156,12,FALSE)*$CS$13,"-")</f>
        <v>3569</v>
      </c>
      <c r="W128" s="209">
        <f t="shared" si="54"/>
        <v>1365.7999999999997</v>
      </c>
      <c r="X128" s="208">
        <f>IFERROR(VLOOKUP($B128,NMBS_abonnementen!$G$7:$K$156,5,FALSE)*$CS$18,"-")</f>
        <v>4272</v>
      </c>
      <c r="Y128" s="209">
        <f t="shared" si="55"/>
        <v>2068.7999999999997</v>
      </c>
      <c r="Z128" s="208">
        <f>IFERROR(VLOOKUP($B128,NMBS_abonnementen!$G$7:$O$156,9,FALSE)*$CS$19,"-")</f>
        <v>3928</v>
      </c>
      <c r="AA128" s="209">
        <f t="shared" si="56"/>
        <v>1724.7999999999997</v>
      </c>
      <c r="AB128" s="210">
        <f>IFERROR(VLOOKUP($B128,NMBS_abonnementen!$G$7:$S$156,13,FALSE),"-")</f>
        <v>3445</v>
      </c>
      <c r="AC128" s="198">
        <f t="shared" si="64"/>
        <v>720</v>
      </c>
      <c r="AD128" s="198">
        <f t="shared" si="57"/>
        <v>50.399999999999977</v>
      </c>
      <c r="AE128" s="198">
        <f t="shared" si="58"/>
        <v>484</v>
      </c>
      <c r="AF128" s="198">
        <f t="shared" si="59"/>
        <v>-236</v>
      </c>
      <c r="AH128" s="198">
        <f t="shared" si="60"/>
        <v>669.6</v>
      </c>
      <c r="AI128" s="198">
        <f t="shared" si="61"/>
        <v>185.60000000000002</v>
      </c>
      <c r="AJ128" s="198">
        <f t="shared" si="62"/>
        <v>669.6</v>
      </c>
      <c r="AK128" s="198">
        <f t="shared" si="63"/>
        <v>0</v>
      </c>
      <c r="AL128" s="179"/>
      <c r="AM128" s="175"/>
      <c r="AN128" s="175"/>
      <c r="AX128" s="181"/>
      <c r="AY128" s="181"/>
    </row>
    <row r="129" spans="2:51" ht="12" customHeight="1">
      <c r="B129" s="110">
        <v>119</v>
      </c>
      <c r="C129" s="102">
        <f>NMBS_flexabo!$C123*$AR$15</f>
        <v>2880</v>
      </c>
      <c r="D129" s="102">
        <f>NMBS_flexabo!$D123*$AR$22</f>
        <v>2552</v>
      </c>
      <c r="E129" s="102">
        <f>NMBS_flexabo!$E123*VLOOKUP($B$5,$AS$43:$AY$43,7,FALSE)</f>
        <v>2736.4500000000003</v>
      </c>
      <c r="F129" s="102">
        <f>NMBS_flexabo!$F123*VLOOKUP($B$5,$AS$45:$AY$48,7,FALSE)</f>
        <v>2681</v>
      </c>
      <c r="G129" s="104">
        <f>IFERROR(VLOOKUP($B129,NMBS_abonnementen!$G$7:$H$156,2,FALSE),"-")*VLOOKUP($B$5,NMBS_halftijds!$P$4:$Q$44,2)</f>
        <v>2692.98432</v>
      </c>
      <c r="H129" s="104">
        <f>IFERROR(VLOOKUP($B129,NMBS_abonnementen!$G$7:$I$156,3,FALSE)*$BB$22,"-")</f>
        <v>3924</v>
      </c>
      <c r="I129" s="104">
        <f>IFERROR(VLOOKUP($B129,NMBS_abonnementen!$G$7:$M$156,7,FALSE)*$BB$23,"-")</f>
        <v>3660</v>
      </c>
      <c r="J129" s="104" t="str">
        <f>IFERROR(VLOOKUP($B129,NMBS_abonnementen!$G$7:$Q$156,11,FALSE),"-")</f>
        <v xml:space="preserve"> 3270,00</v>
      </c>
      <c r="K129" s="104">
        <f>VLOOKUP($B129,NMBS_ticketten!$G$6:$I$155,3,FALSE)*$B$5*$E$5</f>
        <v>4363.2</v>
      </c>
      <c r="L129" s="101" t="str">
        <f t="shared" si="32"/>
        <v/>
      </c>
      <c r="M129" s="101">
        <f t="shared" si="33"/>
        <v>2203.2000000000003</v>
      </c>
      <c r="N129" s="103">
        <f t="shared" si="34"/>
        <v>669.6</v>
      </c>
      <c r="O129" s="174"/>
      <c r="P129" s="269">
        <f t="shared" si="50"/>
        <v>2203.2000000000003</v>
      </c>
      <c r="Q129" s="271">
        <f t="shared" si="51"/>
        <v>2203.2000000000003</v>
      </c>
      <c r="R129" s="208">
        <f>IFERROR(VLOOKUP($B129,NMBS_abonnementen!$G$7:$J$156,4,FALSE)*$CS$11,"-")</f>
        <v>4464</v>
      </c>
      <c r="S129" s="209">
        <f t="shared" si="52"/>
        <v>2260.7999999999997</v>
      </c>
      <c r="T129" s="208">
        <f>IFERROR(VLOOKUP($B129,NMBS_abonnementen!$G$7:$N$156,8,FALSE)*$CS$12,"-")</f>
        <v>4132</v>
      </c>
      <c r="U129" s="209">
        <f t="shared" si="53"/>
        <v>1928.7999999999997</v>
      </c>
      <c r="V129" s="210">
        <f>IFERROR(VLOOKUP($B129,NMBS_abonnementen!$G$7:$R$156,12,FALSE)*$CS$13,"-")</f>
        <v>3569</v>
      </c>
      <c r="W129" s="209">
        <f t="shared" si="54"/>
        <v>1365.7999999999997</v>
      </c>
      <c r="X129" s="208">
        <f>IFERROR(VLOOKUP($B129,NMBS_abonnementen!$G$7:$K$156,5,FALSE)*$CS$18,"-")</f>
        <v>4272</v>
      </c>
      <c r="Y129" s="209">
        <f t="shared" si="55"/>
        <v>2068.7999999999997</v>
      </c>
      <c r="Z129" s="208">
        <f>IFERROR(VLOOKUP($B129,NMBS_abonnementen!$G$7:$O$156,9,FALSE)*$CS$19,"-")</f>
        <v>3928</v>
      </c>
      <c r="AA129" s="209">
        <f t="shared" si="56"/>
        <v>1724.7999999999997</v>
      </c>
      <c r="AB129" s="210">
        <f>IFERROR(VLOOKUP($B129,NMBS_abonnementen!$G$7:$S$156,13,FALSE),"-")</f>
        <v>3445</v>
      </c>
      <c r="AC129" s="198">
        <f t="shared" si="64"/>
        <v>720</v>
      </c>
      <c r="AD129" s="198">
        <f t="shared" si="57"/>
        <v>50.399999999999977</v>
      </c>
      <c r="AE129" s="198">
        <f t="shared" si="58"/>
        <v>484</v>
      </c>
      <c r="AF129" s="198">
        <f t="shared" si="59"/>
        <v>-236</v>
      </c>
      <c r="AH129" s="198">
        <f t="shared" si="60"/>
        <v>669.6</v>
      </c>
      <c r="AI129" s="198">
        <f t="shared" si="61"/>
        <v>185.60000000000002</v>
      </c>
      <c r="AJ129" s="198">
        <f t="shared" si="62"/>
        <v>669.6</v>
      </c>
      <c r="AK129" s="198">
        <f t="shared" si="63"/>
        <v>0</v>
      </c>
      <c r="AL129" s="179"/>
      <c r="AM129" s="175"/>
      <c r="AN129" s="175"/>
      <c r="AX129" s="181"/>
      <c r="AY129" s="181"/>
    </row>
    <row r="130" spans="2:51" ht="12" customHeight="1">
      <c r="B130" s="110">
        <v>120</v>
      </c>
      <c r="C130" s="102">
        <f>NMBS_flexabo!$C124*$AR$15</f>
        <v>2880</v>
      </c>
      <c r="D130" s="102">
        <f>NMBS_flexabo!$D124*$AR$22</f>
        <v>2552</v>
      </c>
      <c r="E130" s="102">
        <f>NMBS_flexabo!$E124*VLOOKUP($B$5,$AS$43:$AY$43,7,FALSE)</f>
        <v>2736.4500000000003</v>
      </c>
      <c r="F130" s="102">
        <f>NMBS_flexabo!$F124*VLOOKUP($B$5,$AS$45:$AY$48,7,FALSE)</f>
        <v>2681</v>
      </c>
      <c r="G130" s="104">
        <f>IFERROR(VLOOKUP($B130,NMBS_abonnementen!$G$7:$H$156,2,FALSE),"-")*VLOOKUP($B$5,NMBS_halftijds!$P$4:$Q$44,2)</f>
        <v>2692.98432</v>
      </c>
      <c r="H130" s="104">
        <f>IFERROR(VLOOKUP($B130,NMBS_abonnementen!$G$7:$I$156,3,FALSE)*$BB$22,"-")</f>
        <v>3924</v>
      </c>
      <c r="I130" s="104">
        <f>IFERROR(VLOOKUP($B130,NMBS_abonnementen!$G$7:$M$156,7,FALSE)*$BB$23,"-")</f>
        <v>3660</v>
      </c>
      <c r="J130" s="104" t="str">
        <f>IFERROR(VLOOKUP($B130,NMBS_abonnementen!$G$7:$Q$156,11,FALSE),"-")</f>
        <v xml:space="preserve"> 3270,00</v>
      </c>
      <c r="K130" s="104">
        <f>VLOOKUP($B130,NMBS_ticketten!$G$6:$I$155,3,FALSE)*$B$5*$E$5</f>
        <v>4363.2</v>
      </c>
      <c r="L130" s="101" t="str">
        <f t="shared" si="32"/>
        <v/>
      </c>
      <c r="M130" s="101">
        <f t="shared" si="33"/>
        <v>2203.2000000000003</v>
      </c>
      <c r="N130" s="103">
        <f t="shared" si="34"/>
        <v>669.6</v>
      </c>
      <c r="O130" s="174"/>
      <c r="P130" s="269">
        <f t="shared" si="50"/>
        <v>2203.2000000000003</v>
      </c>
      <c r="Q130" s="271">
        <f t="shared" si="51"/>
        <v>2203.2000000000003</v>
      </c>
      <c r="R130" s="208">
        <f>IFERROR(VLOOKUP($B130,NMBS_abonnementen!$G$7:$J$156,4,FALSE)*$CS$11,"-")</f>
        <v>4464</v>
      </c>
      <c r="S130" s="209">
        <f t="shared" si="52"/>
        <v>2260.7999999999997</v>
      </c>
      <c r="T130" s="208">
        <f>IFERROR(VLOOKUP($B130,NMBS_abonnementen!$G$7:$N$156,8,FALSE)*$CS$12,"-")</f>
        <v>4132</v>
      </c>
      <c r="U130" s="209">
        <f t="shared" si="53"/>
        <v>1928.7999999999997</v>
      </c>
      <c r="V130" s="210">
        <f>IFERROR(VLOOKUP($B130,NMBS_abonnementen!$G$7:$R$156,12,FALSE)*$CS$13,"-")</f>
        <v>3569</v>
      </c>
      <c r="W130" s="209">
        <f t="shared" si="54"/>
        <v>1365.7999999999997</v>
      </c>
      <c r="X130" s="208">
        <f>IFERROR(VLOOKUP($B130,NMBS_abonnementen!$G$7:$K$156,5,FALSE)*$CS$18,"-")</f>
        <v>4272</v>
      </c>
      <c r="Y130" s="209">
        <f t="shared" si="55"/>
        <v>2068.7999999999997</v>
      </c>
      <c r="Z130" s="208">
        <f>IFERROR(VLOOKUP($B130,NMBS_abonnementen!$G$7:$O$156,9,FALSE)*$CS$19,"-")</f>
        <v>3928</v>
      </c>
      <c r="AA130" s="209">
        <f t="shared" si="56"/>
        <v>1724.7999999999997</v>
      </c>
      <c r="AB130" s="210">
        <f>IFERROR(VLOOKUP($B130,NMBS_abonnementen!$G$7:$S$156,13,FALSE),"-")</f>
        <v>3445</v>
      </c>
      <c r="AC130" s="198">
        <f t="shared" si="64"/>
        <v>720</v>
      </c>
      <c r="AD130" s="198">
        <f t="shared" si="57"/>
        <v>50.399999999999977</v>
      </c>
      <c r="AE130" s="198">
        <f t="shared" si="58"/>
        <v>484</v>
      </c>
      <c r="AF130" s="198">
        <f t="shared" si="59"/>
        <v>-236</v>
      </c>
      <c r="AH130" s="198">
        <f t="shared" si="60"/>
        <v>669.6</v>
      </c>
      <c r="AI130" s="198">
        <f t="shared" si="61"/>
        <v>185.60000000000002</v>
      </c>
      <c r="AJ130" s="198">
        <f t="shared" si="62"/>
        <v>669.6</v>
      </c>
      <c r="AK130" s="198">
        <f t="shared" si="63"/>
        <v>0</v>
      </c>
      <c r="AL130" s="179"/>
      <c r="AM130" s="175"/>
      <c r="AN130" s="175"/>
      <c r="AX130" s="181"/>
      <c r="AY130" s="181"/>
    </row>
    <row r="131" spans="2:51" ht="12" customHeight="1">
      <c r="B131" s="110">
        <v>121</v>
      </c>
      <c r="C131" s="102">
        <f>NMBS_flexabo!$C125*$AR$15</f>
        <v>2970</v>
      </c>
      <c r="D131" s="102">
        <f>NMBS_flexabo!$D125*$AR$22</f>
        <v>2629</v>
      </c>
      <c r="E131" s="102">
        <f>NMBS_flexabo!$E125*VLOOKUP($B$5,$AS$43:$AY$43,7,FALSE)</f>
        <v>2818.8</v>
      </c>
      <c r="F131" s="102">
        <f>NMBS_flexabo!$F125*VLOOKUP($B$5,$AS$45:$AY$48,7,FALSE)</f>
        <v>2762</v>
      </c>
      <c r="G131" s="104">
        <f>IFERROR(VLOOKUP($B131,NMBS_abonnementen!$G$7:$H$156,2,FALSE),"-")*VLOOKUP($B$5,NMBS_halftijds!$P$4:$Q$44,2)</f>
        <v>2790.0288</v>
      </c>
      <c r="H131" s="104">
        <f>IFERROR(VLOOKUP($B131,NMBS_abonnementen!$G$7:$I$156,3,FALSE)*$BB$22,"-")</f>
        <v>4044</v>
      </c>
      <c r="I131" s="104">
        <f>IFERROR(VLOOKUP($B131,NMBS_abonnementen!$G$7:$M$156,7,FALSE)*$BB$23,"-")</f>
        <v>3772</v>
      </c>
      <c r="J131" s="104" t="str">
        <f>IFERROR(VLOOKUP($B131,NMBS_abonnementen!$G$7:$Q$156,11,FALSE),"-")</f>
        <v xml:space="preserve"> 3368,00</v>
      </c>
      <c r="K131" s="104">
        <f>VLOOKUP($B131,NMBS_ticketten!$G$6:$I$155,3,FALSE)*$B$5*$E$5</f>
        <v>4536</v>
      </c>
      <c r="L131" s="101" t="str">
        <f t="shared" si="32"/>
        <v/>
      </c>
      <c r="M131" s="101">
        <f t="shared" si="33"/>
        <v>2203.2000000000003</v>
      </c>
      <c r="N131" s="103">
        <f t="shared" si="34"/>
        <v>669.6</v>
      </c>
      <c r="O131" s="174"/>
      <c r="P131" s="269">
        <f t="shared" si="50"/>
        <v>2203.2000000000003</v>
      </c>
      <c r="Q131" s="271">
        <f t="shared" si="51"/>
        <v>2203.2000000000003</v>
      </c>
      <c r="R131" s="208">
        <f>IFERROR(VLOOKUP($B131,NMBS_abonnementen!$G$7:$J$156,4,FALSE)*$CS$11,"-")</f>
        <v>4584</v>
      </c>
      <c r="S131" s="209">
        <f t="shared" si="52"/>
        <v>2380.7999999999997</v>
      </c>
      <c r="T131" s="208">
        <f>IFERROR(VLOOKUP($B131,NMBS_abonnementen!$G$7:$N$156,8,FALSE)*$CS$12,"-")</f>
        <v>4244</v>
      </c>
      <c r="U131" s="209">
        <f t="shared" si="53"/>
        <v>2040.7999999999997</v>
      </c>
      <c r="V131" s="210">
        <f>IFERROR(VLOOKUP($B131,NMBS_abonnementen!$G$7:$R$156,12,FALSE)*$CS$13,"-")</f>
        <v>3667</v>
      </c>
      <c r="W131" s="209">
        <f t="shared" si="54"/>
        <v>1463.7999999999997</v>
      </c>
      <c r="X131" s="208">
        <f>IFERROR(VLOOKUP($B131,NMBS_abonnementen!$G$7:$K$156,5,FALSE)*$CS$18,"-")</f>
        <v>4392</v>
      </c>
      <c r="Y131" s="209">
        <f t="shared" si="55"/>
        <v>2188.7999999999997</v>
      </c>
      <c r="Z131" s="208">
        <f>IFERROR(VLOOKUP($B131,NMBS_abonnementen!$G$7:$O$156,9,FALSE)*$CS$19,"-")</f>
        <v>4040</v>
      </c>
      <c r="AA131" s="209">
        <f t="shared" si="56"/>
        <v>1836.7999999999997</v>
      </c>
      <c r="AB131" s="210">
        <f>IFERROR(VLOOKUP($B131,NMBS_abonnementen!$G$7:$S$156,13,FALSE),"-")</f>
        <v>3543</v>
      </c>
      <c r="AC131" s="198">
        <f t="shared" si="64"/>
        <v>720</v>
      </c>
      <c r="AD131" s="198">
        <f t="shared" si="57"/>
        <v>50.399999999999977</v>
      </c>
      <c r="AE131" s="198">
        <f t="shared" si="58"/>
        <v>484</v>
      </c>
      <c r="AF131" s="198">
        <f t="shared" si="59"/>
        <v>-236</v>
      </c>
      <c r="AH131" s="198">
        <f t="shared" si="60"/>
        <v>669.6</v>
      </c>
      <c r="AI131" s="198">
        <f t="shared" si="61"/>
        <v>185.60000000000002</v>
      </c>
      <c r="AJ131" s="198">
        <f t="shared" si="62"/>
        <v>669.6</v>
      </c>
      <c r="AK131" s="198">
        <f t="shared" si="63"/>
        <v>0</v>
      </c>
      <c r="AL131" s="179"/>
      <c r="AM131" s="175"/>
      <c r="AN131" s="175"/>
      <c r="AX131" s="181"/>
      <c r="AY131" s="181"/>
    </row>
    <row r="132" spans="2:51" ht="12" customHeight="1">
      <c r="B132" s="110">
        <v>122</v>
      </c>
      <c r="C132" s="102">
        <f>NMBS_flexabo!$C126*$AR$15</f>
        <v>2970</v>
      </c>
      <c r="D132" s="102">
        <f>NMBS_flexabo!$D126*$AR$22</f>
        <v>2629</v>
      </c>
      <c r="E132" s="102">
        <f>NMBS_flexabo!$E126*VLOOKUP($B$5,$AS$43:$AY$43,7,FALSE)</f>
        <v>2818.8</v>
      </c>
      <c r="F132" s="102">
        <f>NMBS_flexabo!$F126*VLOOKUP($B$5,$AS$45:$AY$48,7,FALSE)</f>
        <v>2762</v>
      </c>
      <c r="G132" s="104">
        <f>IFERROR(VLOOKUP($B132,NMBS_abonnementen!$G$7:$H$156,2,FALSE),"-")*VLOOKUP($B$5,NMBS_halftijds!$P$4:$Q$44,2)</f>
        <v>2790.0288</v>
      </c>
      <c r="H132" s="104">
        <f>IFERROR(VLOOKUP($B132,NMBS_abonnementen!$G$7:$I$156,3,FALSE)*$BB$22,"-")</f>
        <v>4044</v>
      </c>
      <c r="I132" s="104">
        <f>IFERROR(VLOOKUP($B132,NMBS_abonnementen!$G$7:$M$156,7,FALSE)*$BB$23,"-")</f>
        <v>3772</v>
      </c>
      <c r="J132" s="104" t="str">
        <f>IFERROR(VLOOKUP($B132,NMBS_abonnementen!$G$7:$Q$156,11,FALSE),"-")</f>
        <v xml:space="preserve"> 3368,00</v>
      </c>
      <c r="K132" s="104">
        <f>VLOOKUP($B132,NMBS_ticketten!$G$6:$I$155,3,FALSE)*$B$5*$E$5</f>
        <v>4536</v>
      </c>
      <c r="L132" s="101" t="str">
        <f t="shared" si="32"/>
        <v/>
      </c>
      <c r="M132" s="101">
        <f t="shared" si="33"/>
        <v>2203.2000000000003</v>
      </c>
      <c r="N132" s="103">
        <f t="shared" si="34"/>
        <v>669.6</v>
      </c>
      <c r="O132" s="174"/>
      <c r="P132" s="269">
        <f t="shared" si="50"/>
        <v>2203.2000000000003</v>
      </c>
      <c r="Q132" s="271">
        <f t="shared" si="51"/>
        <v>2203.2000000000003</v>
      </c>
      <c r="R132" s="208">
        <f>IFERROR(VLOOKUP($B132,NMBS_abonnementen!$G$7:$J$156,4,FALSE)*$CS$11,"-")</f>
        <v>4584</v>
      </c>
      <c r="S132" s="209">
        <f t="shared" si="52"/>
        <v>2380.7999999999997</v>
      </c>
      <c r="T132" s="208">
        <f>IFERROR(VLOOKUP($B132,NMBS_abonnementen!$G$7:$N$156,8,FALSE)*$CS$12,"-")</f>
        <v>4244</v>
      </c>
      <c r="U132" s="209">
        <f t="shared" si="53"/>
        <v>2040.7999999999997</v>
      </c>
      <c r="V132" s="210">
        <f>IFERROR(VLOOKUP($B132,NMBS_abonnementen!$G$7:$R$156,12,FALSE)*$CS$13,"-")</f>
        <v>3667</v>
      </c>
      <c r="W132" s="209">
        <f t="shared" si="54"/>
        <v>1463.7999999999997</v>
      </c>
      <c r="X132" s="208">
        <f>IFERROR(VLOOKUP($B132,NMBS_abonnementen!$G$7:$K$156,5,FALSE)*$CS$18,"-")</f>
        <v>4392</v>
      </c>
      <c r="Y132" s="209">
        <f t="shared" si="55"/>
        <v>2188.7999999999997</v>
      </c>
      <c r="Z132" s="208">
        <f>IFERROR(VLOOKUP($B132,NMBS_abonnementen!$G$7:$O$156,9,FALSE)*$CS$19,"-")</f>
        <v>4040</v>
      </c>
      <c r="AA132" s="209">
        <f t="shared" si="56"/>
        <v>1836.7999999999997</v>
      </c>
      <c r="AB132" s="210">
        <f>IFERROR(VLOOKUP($B132,NMBS_abonnementen!$G$7:$S$156,13,FALSE),"-")</f>
        <v>3543</v>
      </c>
      <c r="AC132" s="198">
        <f t="shared" si="64"/>
        <v>720</v>
      </c>
      <c r="AD132" s="198">
        <f t="shared" si="57"/>
        <v>50.399999999999977</v>
      </c>
      <c r="AE132" s="198">
        <f t="shared" si="58"/>
        <v>484</v>
      </c>
      <c r="AF132" s="198">
        <f t="shared" si="59"/>
        <v>-236</v>
      </c>
      <c r="AH132" s="198">
        <f t="shared" si="60"/>
        <v>669.6</v>
      </c>
      <c r="AI132" s="198">
        <f t="shared" si="61"/>
        <v>185.60000000000002</v>
      </c>
      <c r="AJ132" s="198">
        <f t="shared" si="62"/>
        <v>669.6</v>
      </c>
      <c r="AK132" s="198">
        <f t="shared" si="63"/>
        <v>0</v>
      </c>
      <c r="AL132" s="179"/>
      <c r="AM132" s="175"/>
      <c r="AN132" s="175"/>
      <c r="AX132" s="181"/>
      <c r="AY132" s="181"/>
    </row>
    <row r="133" spans="2:51" ht="12" customHeight="1">
      <c r="B133" s="110">
        <v>123</v>
      </c>
      <c r="C133" s="102">
        <f>NMBS_flexabo!$C127*$AR$15</f>
        <v>2970</v>
      </c>
      <c r="D133" s="102">
        <f>NMBS_flexabo!$D127*$AR$22</f>
        <v>2629</v>
      </c>
      <c r="E133" s="102">
        <f>NMBS_flexabo!$E127*VLOOKUP($B$5,$AS$43:$AY$43,7,FALSE)</f>
        <v>2818.8</v>
      </c>
      <c r="F133" s="102">
        <f>NMBS_flexabo!$F127*VLOOKUP($B$5,$AS$45:$AY$48,7,FALSE)</f>
        <v>2762</v>
      </c>
      <c r="G133" s="104">
        <f>IFERROR(VLOOKUP($B133,NMBS_abonnementen!$G$7:$H$156,2,FALSE),"-")*VLOOKUP($B$5,NMBS_halftijds!$P$4:$Q$44,2)</f>
        <v>2790.0288</v>
      </c>
      <c r="H133" s="104">
        <f>IFERROR(VLOOKUP($B133,NMBS_abonnementen!$G$7:$I$156,3,FALSE)*$BB$22,"-")</f>
        <v>4044</v>
      </c>
      <c r="I133" s="104">
        <f>IFERROR(VLOOKUP($B133,NMBS_abonnementen!$G$7:$M$156,7,FALSE)*$BB$23,"-")</f>
        <v>3772</v>
      </c>
      <c r="J133" s="104" t="str">
        <f>IFERROR(VLOOKUP($B133,NMBS_abonnementen!$G$7:$Q$156,11,FALSE),"-")</f>
        <v xml:space="preserve"> 3368,00</v>
      </c>
      <c r="K133" s="104">
        <f>VLOOKUP($B133,NMBS_ticketten!$G$6:$I$155,3,FALSE)*$B$5*$E$5</f>
        <v>4536</v>
      </c>
      <c r="L133" s="101" t="str">
        <f t="shared" si="32"/>
        <v/>
      </c>
      <c r="M133" s="101">
        <f t="shared" si="33"/>
        <v>2203.2000000000003</v>
      </c>
      <c r="N133" s="103">
        <f t="shared" si="34"/>
        <v>669.6</v>
      </c>
      <c r="O133" s="174"/>
      <c r="P133" s="269">
        <f t="shared" si="50"/>
        <v>2203.2000000000003</v>
      </c>
      <c r="Q133" s="271">
        <f t="shared" si="51"/>
        <v>2203.2000000000003</v>
      </c>
      <c r="R133" s="208">
        <f>IFERROR(VLOOKUP($B133,NMBS_abonnementen!$G$7:$J$156,4,FALSE)*$CS$11,"-")</f>
        <v>4584</v>
      </c>
      <c r="S133" s="209">
        <f t="shared" si="52"/>
        <v>2380.7999999999997</v>
      </c>
      <c r="T133" s="208">
        <f>IFERROR(VLOOKUP($B133,NMBS_abonnementen!$G$7:$N$156,8,FALSE)*$CS$12,"-")</f>
        <v>4244</v>
      </c>
      <c r="U133" s="209">
        <f t="shared" si="53"/>
        <v>2040.7999999999997</v>
      </c>
      <c r="V133" s="210">
        <f>IFERROR(VLOOKUP($B133,NMBS_abonnementen!$G$7:$R$156,12,FALSE)*$CS$13,"-")</f>
        <v>3667</v>
      </c>
      <c r="W133" s="209">
        <f t="shared" si="54"/>
        <v>1463.7999999999997</v>
      </c>
      <c r="X133" s="208">
        <f>IFERROR(VLOOKUP($B133,NMBS_abonnementen!$G$7:$K$156,5,FALSE)*$CS$18,"-")</f>
        <v>4392</v>
      </c>
      <c r="Y133" s="209">
        <f t="shared" si="55"/>
        <v>2188.7999999999997</v>
      </c>
      <c r="Z133" s="208">
        <f>IFERROR(VLOOKUP($B133,NMBS_abonnementen!$G$7:$O$156,9,FALSE)*$CS$19,"-")</f>
        <v>4040</v>
      </c>
      <c r="AA133" s="209">
        <f t="shared" si="56"/>
        <v>1836.7999999999997</v>
      </c>
      <c r="AB133" s="210">
        <f>IFERROR(VLOOKUP($B133,NMBS_abonnementen!$G$7:$S$156,13,FALSE),"-")</f>
        <v>3543</v>
      </c>
      <c r="AC133" s="198">
        <f t="shared" si="64"/>
        <v>720</v>
      </c>
      <c r="AD133" s="198">
        <f t="shared" si="57"/>
        <v>50.399999999999977</v>
      </c>
      <c r="AE133" s="198">
        <f t="shared" si="58"/>
        <v>484</v>
      </c>
      <c r="AF133" s="198">
        <f t="shared" si="59"/>
        <v>-236</v>
      </c>
      <c r="AH133" s="198">
        <f t="shared" si="60"/>
        <v>669.6</v>
      </c>
      <c r="AI133" s="198">
        <f t="shared" si="61"/>
        <v>185.60000000000002</v>
      </c>
      <c r="AJ133" s="198">
        <f t="shared" si="62"/>
        <v>669.6</v>
      </c>
      <c r="AK133" s="198">
        <f t="shared" si="63"/>
        <v>0</v>
      </c>
      <c r="AL133" s="179"/>
      <c r="AM133" s="175"/>
      <c r="AN133" s="175"/>
      <c r="AX133" s="181"/>
      <c r="AY133" s="181"/>
    </row>
    <row r="134" spans="2:51" ht="12" customHeight="1">
      <c r="B134" s="110">
        <v>124</v>
      </c>
      <c r="C134" s="102">
        <f>NMBS_flexabo!$C128*$AR$15</f>
        <v>2970</v>
      </c>
      <c r="D134" s="102">
        <f>NMBS_flexabo!$D128*$AR$22</f>
        <v>2629</v>
      </c>
      <c r="E134" s="102">
        <f>NMBS_flexabo!$E128*VLOOKUP($B$5,$AS$43:$AY$43,7,FALSE)</f>
        <v>2818.8</v>
      </c>
      <c r="F134" s="102">
        <f>NMBS_flexabo!$F128*VLOOKUP($B$5,$AS$45:$AY$48,7,FALSE)</f>
        <v>2762</v>
      </c>
      <c r="G134" s="104">
        <f>IFERROR(VLOOKUP($B134,NMBS_abonnementen!$G$7:$H$156,2,FALSE),"-")*VLOOKUP($B$5,NMBS_halftijds!$P$4:$Q$44,2)</f>
        <v>2790.0288</v>
      </c>
      <c r="H134" s="104">
        <f>IFERROR(VLOOKUP($B134,NMBS_abonnementen!$G$7:$I$156,3,FALSE)*$BB$22,"-")</f>
        <v>4044</v>
      </c>
      <c r="I134" s="104">
        <f>IFERROR(VLOOKUP($B134,NMBS_abonnementen!$G$7:$M$156,7,FALSE)*$BB$23,"-")</f>
        <v>3772</v>
      </c>
      <c r="J134" s="104" t="str">
        <f>IFERROR(VLOOKUP($B134,NMBS_abonnementen!$G$7:$Q$156,11,FALSE),"-")</f>
        <v xml:space="preserve"> 3368,00</v>
      </c>
      <c r="K134" s="104">
        <f>VLOOKUP($B134,NMBS_ticketten!$G$6:$I$155,3,FALSE)*$B$5*$E$5</f>
        <v>4536</v>
      </c>
      <c r="L134" s="101" t="str">
        <f t="shared" si="32"/>
        <v/>
      </c>
      <c r="M134" s="101">
        <f t="shared" si="33"/>
        <v>2203.2000000000003</v>
      </c>
      <c r="N134" s="103">
        <f t="shared" si="34"/>
        <v>669.6</v>
      </c>
      <c r="O134" s="174"/>
      <c r="P134" s="269">
        <f t="shared" si="50"/>
        <v>2203.2000000000003</v>
      </c>
      <c r="Q134" s="271">
        <f t="shared" si="51"/>
        <v>2203.2000000000003</v>
      </c>
      <c r="R134" s="208">
        <f>IFERROR(VLOOKUP($B134,NMBS_abonnementen!$G$7:$J$156,4,FALSE)*$CS$11,"-")</f>
        <v>4584</v>
      </c>
      <c r="S134" s="209">
        <f t="shared" si="52"/>
        <v>2380.7999999999997</v>
      </c>
      <c r="T134" s="208">
        <f>IFERROR(VLOOKUP($B134,NMBS_abonnementen!$G$7:$N$156,8,FALSE)*$CS$12,"-")</f>
        <v>4244</v>
      </c>
      <c r="U134" s="209">
        <f t="shared" si="53"/>
        <v>2040.7999999999997</v>
      </c>
      <c r="V134" s="210">
        <f>IFERROR(VLOOKUP($B134,NMBS_abonnementen!$G$7:$R$156,12,FALSE)*$CS$13,"-")</f>
        <v>3667</v>
      </c>
      <c r="W134" s="209">
        <f t="shared" si="54"/>
        <v>1463.7999999999997</v>
      </c>
      <c r="X134" s="208">
        <f>IFERROR(VLOOKUP($B134,NMBS_abonnementen!$G$7:$K$156,5,FALSE)*$CS$18,"-")</f>
        <v>4392</v>
      </c>
      <c r="Y134" s="209">
        <f t="shared" si="55"/>
        <v>2188.7999999999997</v>
      </c>
      <c r="Z134" s="208">
        <f>IFERROR(VLOOKUP($B134,NMBS_abonnementen!$G$7:$O$156,9,FALSE)*$CS$19,"-")</f>
        <v>4040</v>
      </c>
      <c r="AA134" s="209">
        <f t="shared" si="56"/>
        <v>1836.7999999999997</v>
      </c>
      <c r="AB134" s="210">
        <f>IFERROR(VLOOKUP($B134,NMBS_abonnementen!$G$7:$S$156,13,FALSE),"-")</f>
        <v>3543</v>
      </c>
      <c r="AC134" s="198">
        <f t="shared" si="64"/>
        <v>720</v>
      </c>
      <c r="AD134" s="198">
        <f t="shared" si="57"/>
        <v>50.399999999999977</v>
      </c>
      <c r="AE134" s="198">
        <f t="shared" si="58"/>
        <v>484</v>
      </c>
      <c r="AF134" s="198">
        <f t="shared" si="59"/>
        <v>-236</v>
      </c>
      <c r="AH134" s="198">
        <f t="shared" si="60"/>
        <v>669.6</v>
      </c>
      <c r="AI134" s="198">
        <f t="shared" si="61"/>
        <v>185.60000000000002</v>
      </c>
      <c r="AJ134" s="198">
        <f t="shared" si="62"/>
        <v>669.6</v>
      </c>
      <c r="AK134" s="198">
        <f t="shared" si="63"/>
        <v>0</v>
      </c>
      <c r="AL134" s="179"/>
      <c r="AM134" s="175"/>
      <c r="AN134" s="175"/>
      <c r="AX134" s="181"/>
      <c r="AY134" s="181"/>
    </row>
    <row r="135" spans="2:51" ht="12" customHeight="1">
      <c r="B135" s="110">
        <v>125</v>
      </c>
      <c r="C135" s="102">
        <f>NMBS_flexabo!$C129*$AR$15</f>
        <v>2970</v>
      </c>
      <c r="D135" s="102">
        <f>NMBS_flexabo!$D129*$AR$22</f>
        <v>2629</v>
      </c>
      <c r="E135" s="102">
        <f>NMBS_flexabo!$E129*VLOOKUP($B$5,$AS$43:$AY$43,7,FALSE)</f>
        <v>2818.8</v>
      </c>
      <c r="F135" s="102">
        <f>NMBS_flexabo!$F129*VLOOKUP($B$5,$AS$45:$AY$48,7,FALSE)</f>
        <v>2762</v>
      </c>
      <c r="G135" s="104">
        <f>IFERROR(VLOOKUP($B135,NMBS_abonnementen!$G$7:$H$156,2,FALSE),"-")*VLOOKUP($B$5,NMBS_halftijds!$P$4:$Q$44,2)</f>
        <v>2790.0288</v>
      </c>
      <c r="H135" s="104">
        <f>IFERROR(VLOOKUP($B135,NMBS_abonnementen!$G$7:$I$156,3,FALSE)*$BB$22,"-")</f>
        <v>4044</v>
      </c>
      <c r="I135" s="104">
        <f>IFERROR(VLOOKUP($B135,NMBS_abonnementen!$G$7:$M$156,7,FALSE)*$BB$23,"-")</f>
        <v>3772</v>
      </c>
      <c r="J135" s="104" t="str">
        <f>IFERROR(VLOOKUP($B135,NMBS_abonnementen!$G$7:$Q$156,11,FALSE),"-")</f>
        <v xml:space="preserve"> 3368,00</v>
      </c>
      <c r="K135" s="104">
        <f>VLOOKUP($B135,NMBS_ticketten!$G$6:$I$155,3,FALSE)*$B$5*$E$5</f>
        <v>4536</v>
      </c>
      <c r="L135" s="101" t="str">
        <f t="shared" si="32"/>
        <v/>
      </c>
      <c r="M135" s="101">
        <f t="shared" si="33"/>
        <v>2203.2000000000003</v>
      </c>
      <c r="N135" s="103">
        <f t="shared" si="34"/>
        <v>669.6</v>
      </c>
      <c r="O135" s="174"/>
      <c r="P135" s="269">
        <f t="shared" si="50"/>
        <v>2203.2000000000003</v>
      </c>
      <c r="Q135" s="271">
        <f t="shared" si="51"/>
        <v>2203.2000000000003</v>
      </c>
      <c r="R135" s="208">
        <f>IFERROR(VLOOKUP($B135,NMBS_abonnementen!$G$7:$J$156,4,FALSE)*$CS$11,"-")</f>
        <v>4584</v>
      </c>
      <c r="S135" s="209">
        <f t="shared" si="52"/>
        <v>2380.7999999999997</v>
      </c>
      <c r="T135" s="208">
        <f>IFERROR(VLOOKUP($B135,NMBS_abonnementen!$G$7:$N$156,8,FALSE)*$CS$12,"-")</f>
        <v>4244</v>
      </c>
      <c r="U135" s="209">
        <f t="shared" si="53"/>
        <v>2040.7999999999997</v>
      </c>
      <c r="V135" s="210">
        <f>IFERROR(VLOOKUP($B135,NMBS_abonnementen!$G$7:$R$156,12,FALSE)*$CS$13,"-")</f>
        <v>3667</v>
      </c>
      <c r="W135" s="209">
        <f t="shared" si="54"/>
        <v>1463.7999999999997</v>
      </c>
      <c r="X135" s="208">
        <f>IFERROR(VLOOKUP($B135,NMBS_abonnementen!$G$7:$K$156,5,FALSE)*$CS$18,"-")</f>
        <v>4392</v>
      </c>
      <c r="Y135" s="209">
        <f t="shared" si="55"/>
        <v>2188.7999999999997</v>
      </c>
      <c r="Z135" s="208">
        <f>IFERROR(VLOOKUP($B135,NMBS_abonnementen!$G$7:$O$156,9,FALSE)*$CS$19,"-")</f>
        <v>4040</v>
      </c>
      <c r="AA135" s="209">
        <f t="shared" si="56"/>
        <v>1836.7999999999997</v>
      </c>
      <c r="AB135" s="210">
        <f>IFERROR(VLOOKUP($B135,NMBS_abonnementen!$G$7:$S$156,13,FALSE),"-")</f>
        <v>3543</v>
      </c>
      <c r="AC135" s="198">
        <f t="shared" si="64"/>
        <v>720</v>
      </c>
      <c r="AD135" s="198">
        <f t="shared" si="57"/>
        <v>50.399999999999977</v>
      </c>
      <c r="AE135" s="198">
        <f t="shared" si="58"/>
        <v>484</v>
      </c>
      <c r="AF135" s="198">
        <f t="shared" si="59"/>
        <v>-236</v>
      </c>
      <c r="AH135" s="198">
        <f t="shared" si="60"/>
        <v>669.6</v>
      </c>
      <c r="AI135" s="198">
        <f t="shared" si="61"/>
        <v>185.60000000000002</v>
      </c>
      <c r="AJ135" s="198">
        <f t="shared" si="62"/>
        <v>669.6</v>
      </c>
      <c r="AK135" s="198">
        <f t="shared" si="63"/>
        <v>0</v>
      </c>
      <c r="AL135" s="179"/>
      <c r="AM135" s="175"/>
      <c r="AN135" s="175"/>
      <c r="AX135" s="181"/>
      <c r="AY135" s="181"/>
    </row>
    <row r="136" spans="2:51" ht="12" customHeight="1">
      <c r="B136" s="110">
        <v>126</v>
      </c>
      <c r="C136" s="102">
        <f>NMBS_flexabo!$C130*$AR$15</f>
        <v>3060</v>
      </c>
      <c r="D136" s="102">
        <f>NMBS_flexabo!$D130*$AR$22</f>
        <v>2706</v>
      </c>
      <c r="E136" s="102">
        <f>NMBS_flexabo!$E130*VLOOKUP($B$5,$AS$43:$AY$43,7,FALSE)</f>
        <v>2901.15</v>
      </c>
      <c r="F136" s="102">
        <f>NMBS_flexabo!$F130*VLOOKUP($B$5,$AS$45:$AY$48,7,FALSE)</f>
        <v>2843</v>
      </c>
      <c r="G136" s="104">
        <f>IFERROR(VLOOKUP($B136,NMBS_abonnementen!$G$7:$H$156,2,FALSE),"-")*VLOOKUP($B$5,NMBS_halftijds!$P$4:$Q$44,2)</f>
        <v>2862.8121600000004</v>
      </c>
      <c r="H136" s="104">
        <f>IFERROR(VLOOKUP($B136,NMBS_abonnementen!$G$7:$I$156,3,FALSE)*$BB$22,"-")</f>
        <v>4164</v>
      </c>
      <c r="I136" s="104">
        <f>IFERROR(VLOOKUP($B136,NMBS_abonnementen!$G$7:$M$156,7,FALSE)*$BB$23,"-")</f>
        <v>3884</v>
      </c>
      <c r="J136" s="104" t="str">
        <f>IFERROR(VLOOKUP($B136,NMBS_abonnementen!$G$7:$Q$156,11,FALSE),"-")</f>
        <v xml:space="preserve"> 3467,00</v>
      </c>
      <c r="K136" s="104">
        <f>VLOOKUP($B136,NMBS_ticketten!$G$6:$I$155,3,FALSE)*$B$5*$E$5</f>
        <v>4708.8</v>
      </c>
      <c r="L136" s="101" t="str">
        <f t="shared" si="32"/>
        <v/>
      </c>
      <c r="M136" s="101">
        <f t="shared" si="33"/>
        <v>2203.2000000000003</v>
      </c>
      <c r="N136" s="103">
        <f t="shared" si="34"/>
        <v>669.6</v>
      </c>
      <c r="O136" s="174"/>
      <c r="P136" s="269">
        <f t="shared" si="50"/>
        <v>2203.2000000000003</v>
      </c>
      <c r="Q136" s="271">
        <f t="shared" si="51"/>
        <v>2203.2000000000003</v>
      </c>
      <c r="R136" s="208">
        <f>IFERROR(VLOOKUP($B136,NMBS_abonnementen!$G$7:$J$156,4,FALSE)*$CS$11,"-")</f>
        <v>4704</v>
      </c>
      <c r="S136" s="209">
        <f t="shared" si="52"/>
        <v>2500.7999999999997</v>
      </c>
      <c r="T136" s="208">
        <f>IFERROR(VLOOKUP($B136,NMBS_abonnementen!$G$7:$N$156,8,FALSE)*$CS$12,"-")</f>
        <v>4356</v>
      </c>
      <c r="U136" s="209">
        <f t="shared" si="53"/>
        <v>2152.7999999999997</v>
      </c>
      <c r="V136" s="210">
        <f>IFERROR(VLOOKUP($B136,NMBS_abonnementen!$G$7:$R$156,12,FALSE)*$CS$13,"-")</f>
        <v>3766</v>
      </c>
      <c r="W136" s="209">
        <f t="shared" si="54"/>
        <v>1562.7999999999997</v>
      </c>
      <c r="X136" s="208">
        <f>IFERROR(VLOOKUP($B136,NMBS_abonnementen!$G$7:$K$156,5,FALSE)*$CS$18,"-")</f>
        <v>4512</v>
      </c>
      <c r="Y136" s="209">
        <f t="shared" si="55"/>
        <v>2308.7999999999997</v>
      </c>
      <c r="Z136" s="208">
        <f>IFERROR(VLOOKUP($B136,NMBS_abonnementen!$G$7:$O$156,9,FALSE)*$CS$19,"-")</f>
        <v>4152</v>
      </c>
      <c r="AA136" s="209">
        <f t="shared" si="56"/>
        <v>1948.7999999999997</v>
      </c>
      <c r="AB136" s="210">
        <f>IFERROR(VLOOKUP($B136,NMBS_abonnementen!$G$7:$S$156,13,FALSE),"-")</f>
        <v>3642</v>
      </c>
      <c r="AC136" s="198">
        <f t="shared" si="64"/>
        <v>720</v>
      </c>
      <c r="AD136" s="198">
        <f t="shared" si="57"/>
        <v>50.399999999999977</v>
      </c>
      <c r="AE136" s="198">
        <f t="shared" si="58"/>
        <v>484</v>
      </c>
      <c r="AF136" s="198">
        <f t="shared" si="59"/>
        <v>-236</v>
      </c>
      <c r="AH136" s="198">
        <f t="shared" si="60"/>
        <v>669.6</v>
      </c>
      <c r="AI136" s="198">
        <f t="shared" si="61"/>
        <v>185.60000000000002</v>
      </c>
      <c r="AJ136" s="198">
        <f t="shared" si="62"/>
        <v>669.6</v>
      </c>
      <c r="AK136" s="198">
        <f t="shared" si="63"/>
        <v>0</v>
      </c>
      <c r="AL136" s="179"/>
      <c r="AM136" s="175"/>
      <c r="AN136" s="175"/>
      <c r="AX136" s="181"/>
      <c r="AY136" s="181"/>
    </row>
    <row r="137" spans="2:51" ht="12" customHeight="1">
      <c r="B137" s="110">
        <v>127</v>
      </c>
      <c r="C137" s="102">
        <f>NMBS_flexabo!$C131*$AR$15</f>
        <v>3060</v>
      </c>
      <c r="D137" s="102">
        <f>NMBS_flexabo!$D131*$AR$22</f>
        <v>2706</v>
      </c>
      <c r="E137" s="102">
        <f>NMBS_flexabo!$E131*VLOOKUP($B$5,$AS$43:$AY$43,7,FALSE)</f>
        <v>2901.15</v>
      </c>
      <c r="F137" s="102">
        <f>NMBS_flexabo!$F131*VLOOKUP($B$5,$AS$45:$AY$48,7,FALSE)</f>
        <v>2843</v>
      </c>
      <c r="G137" s="104">
        <f>IFERROR(VLOOKUP($B137,NMBS_abonnementen!$G$7:$H$156,2,FALSE),"-")*VLOOKUP($B$5,NMBS_halftijds!$P$4:$Q$44,2)</f>
        <v>2862.8121600000004</v>
      </c>
      <c r="H137" s="104">
        <f>IFERROR(VLOOKUP($B137,NMBS_abonnementen!$G$7:$I$156,3,FALSE)*$BB$22,"-")</f>
        <v>4164</v>
      </c>
      <c r="I137" s="104">
        <f>IFERROR(VLOOKUP($B137,NMBS_abonnementen!$G$7:$M$156,7,FALSE)*$BB$23,"-")</f>
        <v>3884</v>
      </c>
      <c r="J137" s="104" t="str">
        <f>IFERROR(VLOOKUP($B137,NMBS_abonnementen!$G$7:$Q$156,11,FALSE),"-")</f>
        <v xml:space="preserve"> 3467,00</v>
      </c>
      <c r="K137" s="104">
        <f>VLOOKUP($B137,NMBS_ticketten!$G$6:$I$155,3,FALSE)*$B$5*$E$5</f>
        <v>4708.8</v>
      </c>
      <c r="L137" s="101" t="str">
        <f t="shared" si="32"/>
        <v/>
      </c>
      <c r="M137" s="101">
        <f t="shared" si="33"/>
        <v>2203.2000000000003</v>
      </c>
      <c r="N137" s="103">
        <f t="shared" si="34"/>
        <v>669.6</v>
      </c>
      <c r="O137" s="174"/>
      <c r="P137" s="269">
        <f t="shared" si="50"/>
        <v>2203.2000000000003</v>
      </c>
      <c r="Q137" s="271">
        <f t="shared" si="51"/>
        <v>2203.2000000000003</v>
      </c>
      <c r="R137" s="208">
        <f>IFERROR(VLOOKUP($B137,NMBS_abonnementen!$G$7:$J$156,4,FALSE)*$CS$11,"-")</f>
        <v>4704</v>
      </c>
      <c r="S137" s="209">
        <f t="shared" si="52"/>
        <v>2500.7999999999997</v>
      </c>
      <c r="T137" s="208">
        <f>IFERROR(VLOOKUP($B137,NMBS_abonnementen!$G$7:$N$156,8,FALSE)*$CS$12,"-")</f>
        <v>4356</v>
      </c>
      <c r="U137" s="209">
        <f t="shared" si="53"/>
        <v>2152.7999999999997</v>
      </c>
      <c r="V137" s="210">
        <f>IFERROR(VLOOKUP($B137,NMBS_abonnementen!$G$7:$R$156,12,FALSE)*$CS$13,"-")</f>
        <v>3766</v>
      </c>
      <c r="W137" s="209">
        <f t="shared" si="54"/>
        <v>1562.7999999999997</v>
      </c>
      <c r="X137" s="208">
        <f>IFERROR(VLOOKUP($B137,NMBS_abonnementen!$G$7:$K$156,5,FALSE)*$CS$18,"-")</f>
        <v>4512</v>
      </c>
      <c r="Y137" s="209">
        <f t="shared" si="55"/>
        <v>2308.7999999999997</v>
      </c>
      <c r="Z137" s="208">
        <f>IFERROR(VLOOKUP($B137,NMBS_abonnementen!$G$7:$O$156,9,FALSE)*$CS$19,"-")</f>
        <v>4152</v>
      </c>
      <c r="AA137" s="209">
        <f t="shared" si="56"/>
        <v>1948.7999999999997</v>
      </c>
      <c r="AB137" s="210">
        <f>IFERROR(VLOOKUP($B137,NMBS_abonnementen!$G$7:$S$156,13,FALSE),"-")</f>
        <v>3642</v>
      </c>
      <c r="AC137" s="198">
        <f t="shared" si="64"/>
        <v>720</v>
      </c>
      <c r="AD137" s="198">
        <f t="shared" si="57"/>
        <v>50.399999999999977</v>
      </c>
      <c r="AE137" s="198">
        <f t="shared" si="58"/>
        <v>484</v>
      </c>
      <c r="AF137" s="198">
        <f t="shared" si="59"/>
        <v>-236</v>
      </c>
      <c r="AH137" s="198">
        <f t="shared" si="60"/>
        <v>669.6</v>
      </c>
      <c r="AI137" s="198">
        <f t="shared" si="61"/>
        <v>185.60000000000002</v>
      </c>
      <c r="AJ137" s="198">
        <f t="shared" si="62"/>
        <v>669.6</v>
      </c>
      <c r="AK137" s="198">
        <f t="shared" si="63"/>
        <v>0</v>
      </c>
      <c r="AL137" s="179"/>
      <c r="AM137" s="175"/>
      <c r="AN137" s="175"/>
      <c r="AX137" s="181"/>
      <c r="AY137" s="181"/>
    </row>
    <row r="138" spans="2:51" ht="12" customHeight="1">
      <c r="B138" s="110">
        <v>128</v>
      </c>
      <c r="C138" s="102">
        <f>NMBS_flexabo!$C132*$AR$15</f>
        <v>3060</v>
      </c>
      <c r="D138" s="102">
        <f>NMBS_flexabo!$D132*$AR$22</f>
        <v>2706</v>
      </c>
      <c r="E138" s="102">
        <f>NMBS_flexabo!$E132*VLOOKUP($B$5,$AS$43:$AY$43,7,FALSE)</f>
        <v>2901.15</v>
      </c>
      <c r="F138" s="102">
        <f>NMBS_flexabo!$F132*VLOOKUP($B$5,$AS$45:$AY$48,7,FALSE)</f>
        <v>2843</v>
      </c>
      <c r="G138" s="104">
        <f>IFERROR(VLOOKUP($B138,NMBS_abonnementen!$G$7:$H$156,2,FALSE),"-")*VLOOKUP($B$5,NMBS_halftijds!$P$4:$Q$44,2)</f>
        <v>2862.8121600000004</v>
      </c>
      <c r="H138" s="104">
        <f>IFERROR(VLOOKUP($B138,NMBS_abonnementen!$G$7:$I$156,3,FALSE)*$BB$22,"-")</f>
        <v>4164</v>
      </c>
      <c r="I138" s="104">
        <f>IFERROR(VLOOKUP($B138,NMBS_abonnementen!$G$7:$M$156,7,FALSE)*$BB$23,"-")</f>
        <v>3884</v>
      </c>
      <c r="J138" s="104" t="str">
        <f>IFERROR(VLOOKUP($B138,NMBS_abonnementen!$G$7:$Q$156,11,FALSE),"-")</f>
        <v xml:space="preserve"> 3467,00</v>
      </c>
      <c r="K138" s="104">
        <f>VLOOKUP($B138,NMBS_ticketten!$G$6:$I$155,3,FALSE)*$B$5*$E$5</f>
        <v>4708.8</v>
      </c>
      <c r="L138" s="101" t="str">
        <f t="shared" si="32"/>
        <v/>
      </c>
      <c r="M138" s="101">
        <f t="shared" si="33"/>
        <v>2203.2000000000003</v>
      </c>
      <c r="N138" s="103">
        <f t="shared" si="34"/>
        <v>669.6</v>
      </c>
      <c r="O138" s="174"/>
      <c r="P138" s="269">
        <f t="shared" si="50"/>
        <v>2203.2000000000003</v>
      </c>
      <c r="Q138" s="271">
        <f t="shared" si="51"/>
        <v>2203.2000000000003</v>
      </c>
      <c r="R138" s="208">
        <f>IFERROR(VLOOKUP($B138,NMBS_abonnementen!$G$7:$J$156,4,FALSE)*$CS$11,"-")</f>
        <v>4704</v>
      </c>
      <c r="S138" s="209">
        <f t="shared" si="52"/>
        <v>2500.7999999999997</v>
      </c>
      <c r="T138" s="208">
        <f>IFERROR(VLOOKUP($B138,NMBS_abonnementen!$G$7:$N$156,8,FALSE)*$CS$12,"-")</f>
        <v>4356</v>
      </c>
      <c r="U138" s="209">
        <f t="shared" si="53"/>
        <v>2152.7999999999997</v>
      </c>
      <c r="V138" s="210">
        <f>IFERROR(VLOOKUP($B138,NMBS_abonnementen!$G$7:$R$156,12,FALSE)*$CS$13,"-")</f>
        <v>3766</v>
      </c>
      <c r="W138" s="209">
        <f t="shared" si="54"/>
        <v>1562.7999999999997</v>
      </c>
      <c r="X138" s="208">
        <f>IFERROR(VLOOKUP($B138,NMBS_abonnementen!$G$7:$K$156,5,FALSE)*$CS$18,"-")</f>
        <v>4512</v>
      </c>
      <c r="Y138" s="209">
        <f t="shared" si="55"/>
        <v>2308.7999999999997</v>
      </c>
      <c r="Z138" s="208">
        <f>IFERROR(VLOOKUP($B138,NMBS_abonnementen!$G$7:$O$156,9,FALSE)*$CS$19,"-")</f>
        <v>4152</v>
      </c>
      <c r="AA138" s="209">
        <f t="shared" si="56"/>
        <v>1948.7999999999997</v>
      </c>
      <c r="AB138" s="210">
        <f>IFERROR(VLOOKUP($B138,NMBS_abonnementen!$G$7:$S$156,13,FALSE),"-")</f>
        <v>3642</v>
      </c>
      <c r="AC138" s="198">
        <f t="shared" si="64"/>
        <v>720</v>
      </c>
      <c r="AD138" s="198">
        <f t="shared" si="57"/>
        <v>50.399999999999977</v>
      </c>
      <c r="AE138" s="198">
        <f t="shared" si="58"/>
        <v>484</v>
      </c>
      <c r="AF138" s="198">
        <f t="shared" si="59"/>
        <v>-236</v>
      </c>
      <c r="AH138" s="198">
        <f t="shared" si="60"/>
        <v>669.6</v>
      </c>
      <c r="AI138" s="198">
        <f t="shared" si="61"/>
        <v>185.60000000000002</v>
      </c>
      <c r="AJ138" s="198">
        <f t="shared" si="62"/>
        <v>669.6</v>
      </c>
      <c r="AK138" s="198">
        <f t="shared" si="63"/>
        <v>0</v>
      </c>
      <c r="AL138" s="179"/>
      <c r="AM138" s="175"/>
      <c r="AN138" s="175"/>
      <c r="AX138" s="181"/>
      <c r="AY138" s="181"/>
    </row>
    <row r="139" spans="2:51" ht="12" customHeight="1">
      <c r="B139" s="110">
        <v>129</v>
      </c>
      <c r="C139" s="102">
        <f>NMBS_flexabo!$C133*$AR$15</f>
        <v>3060</v>
      </c>
      <c r="D139" s="102">
        <f>NMBS_flexabo!$D133*$AR$22</f>
        <v>2706</v>
      </c>
      <c r="E139" s="102">
        <f>NMBS_flexabo!$E133*VLOOKUP($B$5,$AS$43:$AY$43,7,FALSE)</f>
        <v>2901.15</v>
      </c>
      <c r="F139" s="102">
        <f>NMBS_flexabo!$F133*VLOOKUP($B$5,$AS$45:$AY$48,7,FALSE)</f>
        <v>2843</v>
      </c>
      <c r="G139" s="104">
        <f>IFERROR(VLOOKUP($B139,NMBS_abonnementen!$G$7:$H$156,2,FALSE),"-")*VLOOKUP($B$5,NMBS_halftijds!$P$4:$Q$44,2)</f>
        <v>2862.8121600000004</v>
      </c>
      <c r="H139" s="104">
        <f>IFERROR(VLOOKUP($B139,NMBS_abonnementen!$G$7:$I$156,3,FALSE)*$BB$22,"-")</f>
        <v>4164</v>
      </c>
      <c r="I139" s="104">
        <f>IFERROR(VLOOKUP($B139,NMBS_abonnementen!$G$7:$M$156,7,FALSE)*$BB$23,"-")</f>
        <v>3884</v>
      </c>
      <c r="J139" s="104" t="str">
        <f>IFERROR(VLOOKUP($B139,NMBS_abonnementen!$G$7:$Q$156,11,FALSE),"-")</f>
        <v xml:space="preserve"> 3467,00</v>
      </c>
      <c r="K139" s="104">
        <f>VLOOKUP($B139,NMBS_ticketten!$G$6:$I$155,3,FALSE)*$B$5*$E$5</f>
        <v>4708.8</v>
      </c>
      <c r="L139" s="101" t="str">
        <f t="shared" ref="L139:L160" si="65">IFERROR($BE$45-VLOOKUP($I$5,$BB$46:$BD$47,3),"")</f>
        <v/>
      </c>
      <c r="M139" s="101">
        <f t="shared" ref="M139:M160" si="66">$BE$29-VLOOKUP($I$5,$BA$30:$BC$31,3)</f>
        <v>2203.2000000000003</v>
      </c>
      <c r="N139" s="103">
        <f t="shared" ref="N139:N160" si="67">$BE$38</f>
        <v>669.6</v>
      </c>
      <c r="O139" s="174"/>
      <c r="P139" s="269">
        <f t="shared" ref="P139:P160" si="68">MIN(C139:M139)</f>
        <v>2203.2000000000003</v>
      </c>
      <c r="Q139" s="271">
        <f t="shared" ref="Q139:Q160" si="69">P139</f>
        <v>2203.2000000000003</v>
      </c>
      <c r="R139" s="208">
        <f>IFERROR(VLOOKUP($B139,NMBS_abonnementen!$G$7:$J$156,4,FALSE)*$CS$11,"-")</f>
        <v>4704</v>
      </c>
      <c r="S139" s="209">
        <f t="shared" ref="S139:S160" si="70">R139-$Q139</f>
        <v>2500.7999999999997</v>
      </c>
      <c r="T139" s="208">
        <f>IFERROR(VLOOKUP($B139,NMBS_abonnementen!$G$7:$N$156,8,FALSE)*$CS$12,"-")</f>
        <v>4356</v>
      </c>
      <c r="U139" s="209">
        <f t="shared" ref="U139:U160" si="71">T139-$Q139</f>
        <v>2152.7999999999997</v>
      </c>
      <c r="V139" s="210">
        <f>IFERROR(VLOOKUP($B139,NMBS_abonnementen!$G$7:$R$156,12,FALSE)*$CS$13,"-")</f>
        <v>3766</v>
      </c>
      <c r="W139" s="209">
        <f t="shared" ref="W139:W160" si="72">V139-$Q139</f>
        <v>1562.7999999999997</v>
      </c>
      <c r="X139" s="208">
        <f>IFERROR(VLOOKUP($B139,NMBS_abonnementen!$G$7:$K$156,5,FALSE)*$CS$18,"-")</f>
        <v>4512</v>
      </c>
      <c r="Y139" s="209">
        <f t="shared" ref="Y139:Y160" si="73">X139-$Q139</f>
        <v>2308.7999999999997</v>
      </c>
      <c r="Z139" s="208">
        <f>IFERROR(VLOOKUP($B139,NMBS_abonnementen!$G$7:$O$156,9,FALSE)*$CS$19,"-")</f>
        <v>4152</v>
      </c>
      <c r="AA139" s="209">
        <f t="shared" ref="AA139:AA160" si="74">Z139-$Q139</f>
        <v>1948.7999999999997</v>
      </c>
      <c r="AB139" s="210">
        <f>IFERROR(VLOOKUP($B139,NMBS_abonnementen!$G$7:$S$156,13,FALSE),"-")</f>
        <v>3642</v>
      </c>
      <c r="AC139" s="198">
        <f t="shared" si="64"/>
        <v>720</v>
      </c>
      <c r="AD139" s="198">
        <f t="shared" ref="AD139:AD160" si="75">AC139-N139</f>
        <v>50.399999999999977</v>
      </c>
      <c r="AE139" s="198">
        <f t="shared" ref="AE139:AE160" si="76">$BI$13</f>
        <v>484</v>
      </c>
      <c r="AF139" s="198">
        <f t="shared" ref="AF139:AF160" si="77">AE139-AC139</f>
        <v>-236</v>
      </c>
      <c r="AH139" s="198">
        <f t="shared" ref="AH139:AH160" si="78">$BE$38</f>
        <v>669.6</v>
      </c>
      <c r="AI139" s="198">
        <f t="shared" ref="AI139:AI160" si="79">AH139-AE139</f>
        <v>185.60000000000002</v>
      </c>
      <c r="AJ139" s="198">
        <f t="shared" ref="AJ139:AJ160" si="80">$BE$38</f>
        <v>669.6</v>
      </c>
      <c r="AK139" s="198">
        <f t="shared" ref="AK139:AK160" si="81">AJ139-AH139</f>
        <v>0</v>
      </c>
      <c r="AL139" s="179"/>
      <c r="AM139" s="175"/>
      <c r="AN139" s="175"/>
      <c r="AX139" s="181"/>
      <c r="AY139" s="181"/>
    </row>
    <row r="140" spans="2:51" ht="12" customHeight="1">
      <c r="B140" s="110">
        <v>130</v>
      </c>
      <c r="C140" s="102">
        <f>NMBS_flexabo!$C134*$AR$15</f>
        <v>3060</v>
      </c>
      <c r="D140" s="102">
        <f>NMBS_flexabo!$D134*$AR$22</f>
        <v>2706</v>
      </c>
      <c r="E140" s="102">
        <f>NMBS_flexabo!$E134*VLOOKUP($B$5,$AS$43:$AY$43,7,FALSE)</f>
        <v>2901.15</v>
      </c>
      <c r="F140" s="102">
        <f>NMBS_flexabo!$F134*VLOOKUP($B$5,$AS$45:$AY$48,7,FALSE)</f>
        <v>2843</v>
      </c>
      <c r="G140" s="104">
        <f>IFERROR(VLOOKUP($B140,NMBS_abonnementen!$G$7:$H$156,2,FALSE),"-")*VLOOKUP($B$5,NMBS_halftijds!$P$4:$Q$44,2)</f>
        <v>2862.8121600000004</v>
      </c>
      <c r="H140" s="104">
        <f>IFERROR(VLOOKUP($B140,NMBS_abonnementen!$G$7:$I$156,3,FALSE)*$BB$22,"-")</f>
        <v>4164</v>
      </c>
      <c r="I140" s="104">
        <f>IFERROR(VLOOKUP($B140,NMBS_abonnementen!$G$7:$M$156,7,FALSE)*$BB$23,"-")</f>
        <v>3884</v>
      </c>
      <c r="J140" s="104" t="str">
        <f>IFERROR(VLOOKUP($B140,NMBS_abonnementen!$G$7:$Q$156,11,FALSE),"-")</f>
        <v xml:space="preserve"> 3467,00</v>
      </c>
      <c r="K140" s="104">
        <f>VLOOKUP($B140,NMBS_ticketten!$G$6:$I$155,3,FALSE)*$B$5*$E$5</f>
        <v>4708.8</v>
      </c>
      <c r="L140" s="101" t="str">
        <f t="shared" si="65"/>
        <v/>
      </c>
      <c r="M140" s="101">
        <f t="shared" si="66"/>
        <v>2203.2000000000003</v>
      </c>
      <c r="N140" s="103">
        <f t="shared" si="67"/>
        <v>669.6</v>
      </c>
      <c r="O140" s="174"/>
      <c r="P140" s="269">
        <f t="shared" si="68"/>
        <v>2203.2000000000003</v>
      </c>
      <c r="Q140" s="271">
        <f t="shared" si="69"/>
        <v>2203.2000000000003</v>
      </c>
      <c r="R140" s="208">
        <f>IFERROR(VLOOKUP($B140,NMBS_abonnementen!$G$7:$J$156,4,FALSE)*$CS$11,"-")</f>
        <v>4704</v>
      </c>
      <c r="S140" s="209">
        <f t="shared" si="70"/>
        <v>2500.7999999999997</v>
      </c>
      <c r="T140" s="208">
        <f>IFERROR(VLOOKUP($B140,NMBS_abonnementen!$G$7:$N$156,8,FALSE)*$CS$12,"-")</f>
        <v>4356</v>
      </c>
      <c r="U140" s="209">
        <f t="shared" si="71"/>
        <v>2152.7999999999997</v>
      </c>
      <c r="V140" s="210">
        <f>IFERROR(VLOOKUP($B140,NMBS_abonnementen!$G$7:$R$156,12,FALSE)*$CS$13,"-")</f>
        <v>3766</v>
      </c>
      <c r="W140" s="209">
        <f t="shared" si="72"/>
        <v>1562.7999999999997</v>
      </c>
      <c r="X140" s="208">
        <f>IFERROR(VLOOKUP($B140,NMBS_abonnementen!$G$7:$K$156,5,FALSE)*$CS$18,"-")</f>
        <v>4512</v>
      </c>
      <c r="Y140" s="209">
        <f t="shared" si="73"/>
        <v>2308.7999999999997</v>
      </c>
      <c r="Z140" s="208">
        <f>IFERROR(VLOOKUP($B140,NMBS_abonnementen!$G$7:$O$156,9,FALSE)*$CS$19,"-")</f>
        <v>4152</v>
      </c>
      <c r="AA140" s="209">
        <f t="shared" si="74"/>
        <v>1948.7999999999997</v>
      </c>
      <c r="AB140" s="210">
        <f>IFERROR(VLOOKUP($B140,NMBS_abonnementen!$G$7:$S$156,13,FALSE),"-")</f>
        <v>3642</v>
      </c>
      <c r="AC140" s="198">
        <f t="shared" ref="AC140:AC160" si="82">$BI$12</f>
        <v>720</v>
      </c>
      <c r="AD140" s="198">
        <f t="shared" si="75"/>
        <v>50.399999999999977</v>
      </c>
      <c r="AE140" s="198">
        <f t="shared" si="76"/>
        <v>484</v>
      </c>
      <c r="AF140" s="198">
        <f t="shared" si="77"/>
        <v>-236</v>
      </c>
      <c r="AH140" s="198">
        <f t="shared" si="78"/>
        <v>669.6</v>
      </c>
      <c r="AI140" s="198">
        <f t="shared" si="79"/>
        <v>185.60000000000002</v>
      </c>
      <c r="AJ140" s="198">
        <f t="shared" si="80"/>
        <v>669.6</v>
      </c>
      <c r="AK140" s="198">
        <f t="shared" si="81"/>
        <v>0</v>
      </c>
      <c r="AL140" s="179"/>
      <c r="AM140" s="175"/>
      <c r="AN140" s="175"/>
      <c r="AX140" s="181"/>
      <c r="AY140" s="181"/>
    </row>
    <row r="141" spans="2:51" ht="12" customHeight="1">
      <c r="B141" s="110">
        <v>131</v>
      </c>
      <c r="C141" s="102">
        <f>NMBS_flexabo!$C135*$AR$15</f>
        <v>3150</v>
      </c>
      <c r="D141" s="102">
        <f>NMBS_flexabo!$D135*$AR$22</f>
        <v>2783</v>
      </c>
      <c r="E141" s="102">
        <f>NMBS_flexabo!$E135*VLOOKUP($B$5,$AS$43:$AY$43,7,FALSE)</f>
        <v>2983.5</v>
      </c>
      <c r="F141" s="102">
        <f>NMBS_flexabo!$F135*VLOOKUP($B$5,$AS$45:$AY$48,7,FALSE)</f>
        <v>2923</v>
      </c>
      <c r="G141" s="104">
        <f>IFERROR(VLOOKUP($B141,NMBS_abonnementen!$G$7:$H$156,2,FALSE),"-")*VLOOKUP($B$5,NMBS_halftijds!$P$4:$Q$44,2)</f>
        <v>2959.8566400000004</v>
      </c>
      <c r="H141" s="104">
        <f>IFERROR(VLOOKUP($B141,NMBS_abonnementen!$G$7:$I$156,3,FALSE)*$BB$22,"-")</f>
        <v>4284</v>
      </c>
      <c r="I141" s="104">
        <f>IFERROR(VLOOKUP($B141,NMBS_abonnementen!$G$7:$M$156,7,FALSE)*$BB$23,"-")</f>
        <v>3992</v>
      </c>
      <c r="J141" s="104" t="str">
        <f>IFERROR(VLOOKUP($B141,NMBS_abonnementen!$G$7:$Q$156,11,FALSE),"-")</f>
        <v xml:space="preserve"> 3565,00</v>
      </c>
      <c r="K141" s="104">
        <f>VLOOKUP($B141,NMBS_ticketten!$G$6:$I$155,3,FALSE)*$B$5*$E$5</f>
        <v>4881.6000000000004</v>
      </c>
      <c r="L141" s="101" t="str">
        <f t="shared" si="65"/>
        <v/>
      </c>
      <c r="M141" s="101">
        <f t="shared" si="66"/>
        <v>2203.2000000000003</v>
      </c>
      <c r="N141" s="103">
        <f t="shared" si="67"/>
        <v>669.6</v>
      </c>
      <c r="O141" s="174"/>
      <c r="P141" s="269">
        <f t="shared" si="68"/>
        <v>2203.2000000000003</v>
      </c>
      <c r="Q141" s="271">
        <f t="shared" si="69"/>
        <v>2203.2000000000003</v>
      </c>
      <c r="R141" s="208">
        <f>IFERROR(VLOOKUP($B141,NMBS_abonnementen!$G$7:$J$156,4,FALSE)*$CS$11,"-")</f>
        <v>4824</v>
      </c>
      <c r="S141" s="209">
        <f t="shared" si="70"/>
        <v>2620.7999999999997</v>
      </c>
      <c r="T141" s="208">
        <f>IFERROR(VLOOKUP($B141,NMBS_abonnementen!$G$7:$N$156,8,FALSE)*$CS$12,"-")</f>
        <v>4464</v>
      </c>
      <c r="U141" s="209">
        <f t="shared" si="71"/>
        <v>2260.7999999999997</v>
      </c>
      <c r="V141" s="210">
        <f>IFERROR(VLOOKUP($B141,NMBS_abonnementen!$G$7:$R$156,12,FALSE)*$CS$13,"-")</f>
        <v>3864</v>
      </c>
      <c r="W141" s="209">
        <f t="shared" si="72"/>
        <v>1660.7999999999997</v>
      </c>
      <c r="X141" s="208">
        <f>IFERROR(VLOOKUP($B141,NMBS_abonnementen!$G$7:$K$156,5,FALSE)*$CS$18,"-")</f>
        <v>4632</v>
      </c>
      <c r="Y141" s="209">
        <f t="shared" si="73"/>
        <v>2428.7999999999997</v>
      </c>
      <c r="Z141" s="208">
        <f>IFERROR(VLOOKUP($B141,NMBS_abonnementen!$G$7:$O$156,9,FALSE)*$CS$19,"-")</f>
        <v>4260</v>
      </c>
      <c r="AA141" s="209">
        <f t="shared" si="74"/>
        <v>2056.7999999999997</v>
      </c>
      <c r="AB141" s="210">
        <f>IFERROR(VLOOKUP($B141,NMBS_abonnementen!$G$7:$S$156,13,FALSE),"-")</f>
        <v>3740</v>
      </c>
      <c r="AC141" s="198">
        <f t="shared" si="82"/>
        <v>720</v>
      </c>
      <c r="AD141" s="198">
        <f t="shared" si="75"/>
        <v>50.399999999999977</v>
      </c>
      <c r="AE141" s="198">
        <f t="shared" si="76"/>
        <v>484</v>
      </c>
      <c r="AF141" s="198">
        <f t="shared" si="77"/>
        <v>-236</v>
      </c>
      <c r="AH141" s="198">
        <f t="shared" si="78"/>
        <v>669.6</v>
      </c>
      <c r="AI141" s="198">
        <f t="shared" si="79"/>
        <v>185.60000000000002</v>
      </c>
      <c r="AJ141" s="198">
        <f t="shared" si="80"/>
        <v>669.6</v>
      </c>
      <c r="AK141" s="198">
        <f t="shared" si="81"/>
        <v>0</v>
      </c>
      <c r="AL141" s="179"/>
      <c r="AM141" s="175"/>
      <c r="AN141" s="175"/>
      <c r="AX141" s="181"/>
      <c r="AY141" s="181"/>
    </row>
    <row r="142" spans="2:51" ht="12" customHeight="1">
      <c r="B142" s="110">
        <v>132</v>
      </c>
      <c r="C142" s="102">
        <f>NMBS_flexabo!$C136*$AR$15</f>
        <v>3150</v>
      </c>
      <c r="D142" s="102">
        <f>NMBS_flexabo!$D136*$AR$22</f>
        <v>2783</v>
      </c>
      <c r="E142" s="102">
        <f>NMBS_flexabo!$E136*VLOOKUP($B$5,$AS$43:$AY$43,7,FALSE)</f>
        <v>2983.5</v>
      </c>
      <c r="F142" s="102">
        <f>NMBS_flexabo!$F136*VLOOKUP($B$5,$AS$45:$AY$48,7,FALSE)</f>
        <v>2923</v>
      </c>
      <c r="G142" s="104">
        <f>IFERROR(VLOOKUP($B142,NMBS_abonnementen!$G$7:$H$156,2,FALSE),"-")*VLOOKUP($B$5,NMBS_halftijds!$P$4:$Q$44,2)</f>
        <v>2959.8566400000004</v>
      </c>
      <c r="H142" s="104">
        <f>IFERROR(VLOOKUP($B142,NMBS_abonnementen!$G$7:$I$156,3,FALSE)*$BB$22,"-")</f>
        <v>4284</v>
      </c>
      <c r="I142" s="104">
        <f>IFERROR(VLOOKUP($B142,NMBS_abonnementen!$G$7:$M$156,7,FALSE)*$BB$23,"-")</f>
        <v>3992</v>
      </c>
      <c r="J142" s="104" t="str">
        <f>IFERROR(VLOOKUP($B142,NMBS_abonnementen!$G$7:$Q$156,11,FALSE),"-")</f>
        <v xml:space="preserve"> 3565,00</v>
      </c>
      <c r="K142" s="104">
        <f>VLOOKUP($B142,NMBS_ticketten!$G$6:$I$155,3,FALSE)*$B$5*$E$5</f>
        <v>4881.6000000000004</v>
      </c>
      <c r="L142" s="101" t="str">
        <f t="shared" si="65"/>
        <v/>
      </c>
      <c r="M142" s="101">
        <f t="shared" si="66"/>
        <v>2203.2000000000003</v>
      </c>
      <c r="N142" s="103">
        <f t="shared" si="67"/>
        <v>669.6</v>
      </c>
      <c r="O142" s="174"/>
      <c r="P142" s="269">
        <f t="shared" si="68"/>
        <v>2203.2000000000003</v>
      </c>
      <c r="Q142" s="271">
        <f t="shared" si="69"/>
        <v>2203.2000000000003</v>
      </c>
      <c r="R142" s="208">
        <f>IFERROR(VLOOKUP($B142,NMBS_abonnementen!$G$7:$J$156,4,FALSE)*$CS$11,"-")</f>
        <v>4824</v>
      </c>
      <c r="S142" s="209">
        <f t="shared" si="70"/>
        <v>2620.7999999999997</v>
      </c>
      <c r="T142" s="208">
        <f>IFERROR(VLOOKUP($B142,NMBS_abonnementen!$G$7:$N$156,8,FALSE)*$CS$12,"-")</f>
        <v>4464</v>
      </c>
      <c r="U142" s="209">
        <f t="shared" si="71"/>
        <v>2260.7999999999997</v>
      </c>
      <c r="V142" s="210">
        <f>IFERROR(VLOOKUP($B142,NMBS_abonnementen!$G$7:$R$156,12,FALSE)*$CS$13,"-")</f>
        <v>3864</v>
      </c>
      <c r="W142" s="209">
        <f t="shared" si="72"/>
        <v>1660.7999999999997</v>
      </c>
      <c r="X142" s="208">
        <f>IFERROR(VLOOKUP($B142,NMBS_abonnementen!$G$7:$K$156,5,FALSE)*$CS$18,"-")</f>
        <v>4632</v>
      </c>
      <c r="Y142" s="209">
        <f t="shared" si="73"/>
        <v>2428.7999999999997</v>
      </c>
      <c r="Z142" s="208">
        <f>IFERROR(VLOOKUP($B142,NMBS_abonnementen!$G$7:$O$156,9,FALSE)*$CS$19,"-")</f>
        <v>4260</v>
      </c>
      <c r="AA142" s="209">
        <f t="shared" si="74"/>
        <v>2056.7999999999997</v>
      </c>
      <c r="AB142" s="210">
        <f>IFERROR(VLOOKUP($B142,NMBS_abonnementen!$G$7:$S$156,13,FALSE),"-")</f>
        <v>3740</v>
      </c>
      <c r="AC142" s="198">
        <f t="shared" si="82"/>
        <v>720</v>
      </c>
      <c r="AD142" s="198">
        <f t="shared" si="75"/>
        <v>50.399999999999977</v>
      </c>
      <c r="AE142" s="198">
        <f t="shared" si="76"/>
        <v>484</v>
      </c>
      <c r="AF142" s="198">
        <f t="shared" si="77"/>
        <v>-236</v>
      </c>
      <c r="AH142" s="198">
        <f t="shared" si="78"/>
        <v>669.6</v>
      </c>
      <c r="AI142" s="198">
        <f t="shared" si="79"/>
        <v>185.60000000000002</v>
      </c>
      <c r="AJ142" s="198">
        <f t="shared" si="80"/>
        <v>669.6</v>
      </c>
      <c r="AK142" s="198">
        <f t="shared" si="81"/>
        <v>0</v>
      </c>
      <c r="AL142" s="179"/>
      <c r="AM142" s="175"/>
      <c r="AN142" s="175"/>
      <c r="AX142" s="181"/>
      <c r="AY142" s="181"/>
    </row>
    <row r="143" spans="2:51" ht="12" customHeight="1">
      <c r="B143" s="110">
        <v>133</v>
      </c>
      <c r="C143" s="102">
        <f>NMBS_flexabo!$C137*$AR$15</f>
        <v>3150</v>
      </c>
      <c r="D143" s="102">
        <f>NMBS_flexabo!$D137*$AR$22</f>
        <v>2783</v>
      </c>
      <c r="E143" s="102">
        <f>NMBS_flexabo!$E137*VLOOKUP($B$5,$AS$43:$AY$43,7,FALSE)</f>
        <v>2983.5</v>
      </c>
      <c r="F143" s="102">
        <f>NMBS_flexabo!$F137*VLOOKUP($B$5,$AS$45:$AY$48,7,FALSE)</f>
        <v>2923</v>
      </c>
      <c r="G143" s="104">
        <f>IFERROR(VLOOKUP($B143,NMBS_abonnementen!$G$7:$H$156,2,FALSE),"-")*VLOOKUP($B$5,NMBS_halftijds!$P$4:$Q$44,2)</f>
        <v>2959.8566400000004</v>
      </c>
      <c r="H143" s="104">
        <f>IFERROR(VLOOKUP($B143,NMBS_abonnementen!$G$7:$I$156,3,FALSE)*$BB$22,"-")</f>
        <v>4284</v>
      </c>
      <c r="I143" s="104">
        <f>IFERROR(VLOOKUP($B143,NMBS_abonnementen!$G$7:$M$156,7,FALSE)*$BB$23,"-")</f>
        <v>3992</v>
      </c>
      <c r="J143" s="104" t="str">
        <f>IFERROR(VLOOKUP($B143,NMBS_abonnementen!$G$7:$Q$156,11,FALSE),"-")</f>
        <v xml:space="preserve"> 3565,00</v>
      </c>
      <c r="K143" s="104">
        <f>VLOOKUP($B143,NMBS_ticketten!$G$6:$I$155,3,FALSE)*$B$5*$E$5</f>
        <v>4881.6000000000004</v>
      </c>
      <c r="L143" s="101" t="str">
        <f t="shared" si="65"/>
        <v/>
      </c>
      <c r="M143" s="101">
        <f t="shared" si="66"/>
        <v>2203.2000000000003</v>
      </c>
      <c r="N143" s="103">
        <f t="shared" si="67"/>
        <v>669.6</v>
      </c>
      <c r="O143" s="174"/>
      <c r="P143" s="269">
        <f t="shared" si="68"/>
        <v>2203.2000000000003</v>
      </c>
      <c r="Q143" s="271">
        <f t="shared" si="69"/>
        <v>2203.2000000000003</v>
      </c>
      <c r="R143" s="208">
        <f>IFERROR(VLOOKUP($B143,NMBS_abonnementen!$G$7:$J$156,4,FALSE)*$CS$11,"-")</f>
        <v>4824</v>
      </c>
      <c r="S143" s="209">
        <f t="shared" si="70"/>
        <v>2620.7999999999997</v>
      </c>
      <c r="T143" s="208">
        <f>IFERROR(VLOOKUP($B143,NMBS_abonnementen!$G$7:$N$156,8,FALSE)*$CS$12,"-")</f>
        <v>4464</v>
      </c>
      <c r="U143" s="209">
        <f t="shared" si="71"/>
        <v>2260.7999999999997</v>
      </c>
      <c r="V143" s="210">
        <f>IFERROR(VLOOKUP($B143,NMBS_abonnementen!$G$7:$R$156,12,FALSE)*$CS$13,"-")</f>
        <v>3864</v>
      </c>
      <c r="W143" s="209">
        <f t="shared" si="72"/>
        <v>1660.7999999999997</v>
      </c>
      <c r="X143" s="208">
        <f>IFERROR(VLOOKUP($B143,NMBS_abonnementen!$G$7:$K$156,5,FALSE)*$CS$18,"-")</f>
        <v>4632</v>
      </c>
      <c r="Y143" s="209">
        <f t="shared" si="73"/>
        <v>2428.7999999999997</v>
      </c>
      <c r="Z143" s="208">
        <f>IFERROR(VLOOKUP($B143,NMBS_abonnementen!$G$7:$O$156,9,FALSE)*$CS$19,"-")</f>
        <v>4260</v>
      </c>
      <c r="AA143" s="209">
        <f t="shared" si="74"/>
        <v>2056.7999999999997</v>
      </c>
      <c r="AB143" s="210">
        <f>IFERROR(VLOOKUP($B143,NMBS_abonnementen!$G$7:$S$156,13,FALSE),"-")</f>
        <v>3740</v>
      </c>
      <c r="AC143" s="198">
        <f t="shared" si="82"/>
        <v>720</v>
      </c>
      <c r="AD143" s="198">
        <f t="shared" si="75"/>
        <v>50.399999999999977</v>
      </c>
      <c r="AE143" s="198">
        <f t="shared" si="76"/>
        <v>484</v>
      </c>
      <c r="AF143" s="198">
        <f t="shared" si="77"/>
        <v>-236</v>
      </c>
      <c r="AH143" s="198">
        <f t="shared" si="78"/>
        <v>669.6</v>
      </c>
      <c r="AI143" s="198">
        <f t="shared" si="79"/>
        <v>185.60000000000002</v>
      </c>
      <c r="AJ143" s="198">
        <f t="shared" si="80"/>
        <v>669.6</v>
      </c>
      <c r="AK143" s="198">
        <f t="shared" si="81"/>
        <v>0</v>
      </c>
      <c r="AL143" s="179"/>
      <c r="AM143" s="175"/>
      <c r="AN143" s="175"/>
      <c r="AX143" s="181"/>
      <c r="AY143" s="181"/>
    </row>
    <row r="144" spans="2:51" ht="12" customHeight="1">
      <c r="B144" s="110">
        <v>134</v>
      </c>
      <c r="C144" s="102">
        <f>NMBS_flexabo!$C138*$AR$15</f>
        <v>3150</v>
      </c>
      <c r="D144" s="102">
        <f>NMBS_flexabo!$D138*$AR$22</f>
        <v>2783</v>
      </c>
      <c r="E144" s="102">
        <f>NMBS_flexabo!$E138*VLOOKUP($B$5,$AS$43:$AY$43,7,FALSE)</f>
        <v>2983.5</v>
      </c>
      <c r="F144" s="102">
        <f>NMBS_flexabo!$F138*VLOOKUP($B$5,$AS$45:$AY$48,7,FALSE)</f>
        <v>2923</v>
      </c>
      <c r="G144" s="104">
        <f>IFERROR(VLOOKUP($B144,NMBS_abonnementen!$G$7:$H$156,2,FALSE),"-")*VLOOKUP($B$5,NMBS_halftijds!$P$4:$Q$44,2)</f>
        <v>2959.8566400000004</v>
      </c>
      <c r="H144" s="104">
        <f>IFERROR(VLOOKUP($B144,NMBS_abonnementen!$G$7:$I$156,3,FALSE)*$BB$22,"-")</f>
        <v>4284</v>
      </c>
      <c r="I144" s="104">
        <f>IFERROR(VLOOKUP($B144,NMBS_abonnementen!$G$7:$M$156,7,FALSE)*$BB$23,"-")</f>
        <v>3992</v>
      </c>
      <c r="J144" s="104" t="str">
        <f>IFERROR(VLOOKUP($B144,NMBS_abonnementen!$G$7:$Q$156,11,FALSE),"-")</f>
        <v xml:space="preserve"> 3565,00</v>
      </c>
      <c r="K144" s="104">
        <f>VLOOKUP($B144,NMBS_ticketten!$G$6:$I$155,3,FALSE)*$B$5*$E$5</f>
        <v>4881.6000000000004</v>
      </c>
      <c r="L144" s="101" t="str">
        <f t="shared" si="65"/>
        <v/>
      </c>
      <c r="M144" s="101">
        <f t="shared" si="66"/>
        <v>2203.2000000000003</v>
      </c>
      <c r="N144" s="103">
        <f t="shared" si="67"/>
        <v>669.6</v>
      </c>
      <c r="O144" s="174"/>
      <c r="P144" s="269">
        <f t="shared" si="68"/>
        <v>2203.2000000000003</v>
      </c>
      <c r="Q144" s="271">
        <f t="shared" si="69"/>
        <v>2203.2000000000003</v>
      </c>
      <c r="R144" s="208">
        <f>IFERROR(VLOOKUP($B144,NMBS_abonnementen!$G$7:$J$156,4,FALSE)*$CS$11,"-")</f>
        <v>4824</v>
      </c>
      <c r="S144" s="209">
        <f t="shared" si="70"/>
        <v>2620.7999999999997</v>
      </c>
      <c r="T144" s="208">
        <f>IFERROR(VLOOKUP($B144,NMBS_abonnementen!$G$7:$N$156,8,FALSE)*$CS$12,"-")</f>
        <v>4464</v>
      </c>
      <c r="U144" s="209">
        <f t="shared" si="71"/>
        <v>2260.7999999999997</v>
      </c>
      <c r="V144" s="210">
        <f>IFERROR(VLOOKUP($B144,NMBS_abonnementen!$G$7:$R$156,12,FALSE)*$CS$13,"-")</f>
        <v>3864</v>
      </c>
      <c r="W144" s="209">
        <f t="shared" si="72"/>
        <v>1660.7999999999997</v>
      </c>
      <c r="X144" s="208">
        <f>IFERROR(VLOOKUP($B144,NMBS_abonnementen!$G$7:$K$156,5,FALSE)*$CS$18,"-")</f>
        <v>4632</v>
      </c>
      <c r="Y144" s="209">
        <f t="shared" si="73"/>
        <v>2428.7999999999997</v>
      </c>
      <c r="Z144" s="208">
        <f>IFERROR(VLOOKUP($B144,NMBS_abonnementen!$G$7:$O$156,9,FALSE)*$CS$19,"-")</f>
        <v>4260</v>
      </c>
      <c r="AA144" s="209">
        <f t="shared" si="74"/>
        <v>2056.7999999999997</v>
      </c>
      <c r="AB144" s="210">
        <f>IFERROR(VLOOKUP($B144,NMBS_abonnementen!$G$7:$S$156,13,FALSE),"-")</f>
        <v>3740</v>
      </c>
      <c r="AC144" s="198">
        <f t="shared" si="82"/>
        <v>720</v>
      </c>
      <c r="AD144" s="198">
        <f t="shared" si="75"/>
        <v>50.399999999999977</v>
      </c>
      <c r="AE144" s="198">
        <f t="shared" si="76"/>
        <v>484</v>
      </c>
      <c r="AF144" s="198">
        <f t="shared" si="77"/>
        <v>-236</v>
      </c>
      <c r="AH144" s="198">
        <f t="shared" si="78"/>
        <v>669.6</v>
      </c>
      <c r="AI144" s="198">
        <f t="shared" si="79"/>
        <v>185.60000000000002</v>
      </c>
      <c r="AJ144" s="198">
        <f t="shared" si="80"/>
        <v>669.6</v>
      </c>
      <c r="AK144" s="198">
        <f t="shared" si="81"/>
        <v>0</v>
      </c>
      <c r="AL144" s="179"/>
      <c r="AM144" s="175"/>
      <c r="AN144" s="175"/>
      <c r="AX144" s="181"/>
      <c r="AY144" s="181"/>
    </row>
    <row r="145" spans="2:51" ht="12" customHeight="1">
      <c r="B145" s="110">
        <v>135</v>
      </c>
      <c r="C145" s="102">
        <f>NMBS_flexabo!$C139*$AR$15</f>
        <v>3150</v>
      </c>
      <c r="D145" s="102">
        <f>NMBS_flexabo!$D139*$AR$22</f>
        <v>2783</v>
      </c>
      <c r="E145" s="102">
        <f>NMBS_flexabo!$E139*VLOOKUP($B$5,$AS$43:$AY$43,7,FALSE)</f>
        <v>2983.5</v>
      </c>
      <c r="F145" s="102">
        <f>NMBS_flexabo!$F139*VLOOKUP($B$5,$AS$45:$AY$48,7,FALSE)</f>
        <v>2923</v>
      </c>
      <c r="G145" s="104">
        <f>IFERROR(VLOOKUP($B145,NMBS_abonnementen!$G$7:$H$156,2,FALSE),"-")*VLOOKUP($B$5,NMBS_halftijds!$P$4:$Q$44,2)</f>
        <v>2959.8566400000004</v>
      </c>
      <c r="H145" s="104">
        <f>IFERROR(VLOOKUP($B145,NMBS_abonnementen!$G$7:$I$156,3,FALSE)*$BB$22,"-")</f>
        <v>4284</v>
      </c>
      <c r="I145" s="104">
        <f>IFERROR(VLOOKUP($B145,NMBS_abonnementen!$G$7:$M$156,7,FALSE)*$BB$23,"-")</f>
        <v>3992</v>
      </c>
      <c r="J145" s="104" t="str">
        <f>IFERROR(VLOOKUP($B145,NMBS_abonnementen!$G$7:$Q$156,11,FALSE),"-")</f>
        <v xml:space="preserve"> 3565,00</v>
      </c>
      <c r="K145" s="104">
        <f>VLOOKUP($B145,NMBS_ticketten!$G$6:$I$155,3,FALSE)*$B$5*$E$5</f>
        <v>4881.6000000000004</v>
      </c>
      <c r="L145" s="101" t="str">
        <f t="shared" si="65"/>
        <v/>
      </c>
      <c r="M145" s="101">
        <f t="shared" si="66"/>
        <v>2203.2000000000003</v>
      </c>
      <c r="N145" s="103">
        <f t="shared" si="67"/>
        <v>669.6</v>
      </c>
      <c r="O145" s="174"/>
      <c r="P145" s="269">
        <f t="shared" si="68"/>
        <v>2203.2000000000003</v>
      </c>
      <c r="Q145" s="271">
        <f t="shared" si="69"/>
        <v>2203.2000000000003</v>
      </c>
      <c r="R145" s="208">
        <f>IFERROR(VLOOKUP($B145,NMBS_abonnementen!$G$7:$J$156,4,FALSE)*$CS$11,"-")</f>
        <v>4824</v>
      </c>
      <c r="S145" s="209">
        <f t="shared" si="70"/>
        <v>2620.7999999999997</v>
      </c>
      <c r="T145" s="208">
        <f>IFERROR(VLOOKUP($B145,NMBS_abonnementen!$G$7:$N$156,8,FALSE)*$CS$12,"-")</f>
        <v>4464</v>
      </c>
      <c r="U145" s="209">
        <f t="shared" si="71"/>
        <v>2260.7999999999997</v>
      </c>
      <c r="V145" s="210">
        <f>IFERROR(VLOOKUP($B145,NMBS_abonnementen!$G$7:$R$156,12,FALSE)*$CS$13,"-")</f>
        <v>3864</v>
      </c>
      <c r="W145" s="209">
        <f t="shared" si="72"/>
        <v>1660.7999999999997</v>
      </c>
      <c r="X145" s="208">
        <f>IFERROR(VLOOKUP($B145,NMBS_abonnementen!$G$7:$K$156,5,FALSE)*$CS$18,"-")</f>
        <v>4632</v>
      </c>
      <c r="Y145" s="209">
        <f t="shared" si="73"/>
        <v>2428.7999999999997</v>
      </c>
      <c r="Z145" s="208">
        <f>IFERROR(VLOOKUP($B145,NMBS_abonnementen!$G$7:$O$156,9,FALSE)*$CS$19,"-")</f>
        <v>4260</v>
      </c>
      <c r="AA145" s="209">
        <f t="shared" si="74"/>
        <v>2056.7999999999997</v>
      </c>
      <c r="AB145" s="210">
        <f>IFERROR(VLOOKUP($B145,NMBS_abonnementen!$G$7:$S$156,13,FALSE),"-")</f>
        <v>3740</v>
      </c>
      <c r="AC145" s="198">
        <f t="shared" si="82"/>
        <v>720</v>
      </c>
      <c r="AD145" s="198">
        <f t="shared" si="75"/>
        <v>50.399999999999977</v>
      </c>
      <c r="AE145" s="198">
        <f t="shared" si="76"/>
        <v>484</v>
      </c>
      <c r="AF145" s="198">
        <f t="shared" si="77"/>
        <v>-236</v>
      </c>
      <c r="AH145" s="198">
        <f t="shared" si="78"/>
        <v>669.6</v>
      </c>
      <c r="AI145" s="198">
        <f t="shared" si="79"/>
        <v>185.60000000000002</v>
      </c>
      <c r="AJ145" s="198">
        <f t="shared" si="80"/>
        <v>669.6</v>
      </c>
      <c r="AK145" s="198">
        <f t="shared" si="81"/>
        <v>0</v>
      </c>
      <c r="AL145" s="179"/>
      <c r="AM145" s="175"/>
      <c r="AN145" s="175"/>
      <c r="AX145" s="181"/>
      <c r="AY145" s="181"/>
    </row>
    <row r="146" spans="2:51" ht="12" customHeight="1">
      <c r="B146" s="110">
        <v>136</v>
      </c>
      <c r="C146" s="102">
        <f>NMBS_flexabo!$C140*$AR$15</f>
        <v>3240</v>
      </c>
      <c r="D146" s="102">
        <f>NMBS_flexabo!$D140*$AR$22</f>
        <v>2860</v>
      </c>
      <c r="E146" s="102">
        <f>NMBS_flexabo!$E140*VLOOKUP($B$5,$AS$43:$AY$43,7,FALSE)</f>
        <v>3067.2000000000003</v>
      </c>
      <c r="F146" s="102">
        <f>NMBS_flexabo!$F140*VLOOKUP($B$5,$AS$45:$AY$48,7,FALSE)</f>
        <v>3004</v>
      </c>
      <c r="G146" s="104">
        <f>IFERROR(VLOOKUP($B146,NMBS_abonnementen!$G$7:$H$156,2,FALSE),"-")*VLOOKUP($B$5,NMBS_halftijds!$P$4:$Q$44,2)</f>
        <v>3032.6400000000003</v>
      </c>
      <c r="H146" s="104">
        <f>IFERROR(VLOOKUP($B146,NMBS_abonnementen!$G$7:$I$156,3,FALSE)*$BB$22,"-")</f>
        <v>4392</v>
      </c>
      <c r="I146" s="104">
        <f>IFERROR(VLOOKUP($B146,NMBS_abonnementen!$G$7:$M$156,7,FALSE)*$BB$23,"-")</f>
        <v>4104</v>
      </c>
      <c r="J146" s="104" t="str">
        <f>IFERROR(VLOOKUP($B146,NMBS_abonnementen!$G$7:$Q$156,11,FALSE),"-")</f>
        <v xml:space="preserve"> 3664,00</v>
      </c>
      <c r="K146" s="104">
        <f>VLOOKUP($B146,NMBS_ticketten!$G$6:$I$155,3,FALSE)*$B$5*$E$5</f>
        <v>5054.3999999999996</v>
      </c>
      <c r="L146" s="101" t="str">
        <f t="shared" si="65"/>
        <v/>
      </c>
      <c r="M146" s="101">
        <f t="shared" si="66"/>
        <v>2203.2000000000003</v>
      </c>
      <c r="N146" s="103">
        <f t="shared" si="67"/>
        <v>669.6</v>
      </c>
      <c r="O146" s="174"/>
      <c r="P146" s="269">
        <f t="shared" si="68"/>
        <v>2203.2000000000003</v>
      </c>
      <c r="Q146" s="271">
        <f t="shared" si="69"/>
        <v>2203.2000000000003</v>
      </c>
      <c r="R146" s="208">
        <f>IFERROR(VLOOKUP($B146,NMBS_abonnementen!$G$7:$J$156,4,FALSE)*$CS$11,"-")</f>
        <v>4932</v>
      </c>
      <c r="S146" s="209">
        <f t="shared" si="70"/>
        <v>2728.7999999999997</v>
      </c>
      <c r="T146" s="208">
        <f>IFERROR(VLOOKUP($B146,NMBS_abonnementen!$G$7:$N$156,8,FALSE)*$CS$12,"-")</f>
        <v>4576</v>
      </c>
      <c r="U146" s="209">
        <f t="shared" si="71"/>
        <v>2372.7999999999997</v>
      </c>
      <c r="V146" s="210">
        <f>IFERROR(VLOOKUP($B146,NMBS_abonnementen!$G$7:$R$156,12,FALSE)*$CS$13,"-")</f>
        <v>3963</v>
      </c>
      <c r="W146" s="209">
        <f t="shared" si="72"/>
        <v>1759.7999999999997</v>
      </c>
      <c r="X146" s="208">
        <f>IFERROR(VLOOKUP($B146,NMBS_abonnementen!$G$7:$K$156,5,FALSE)*$CS$18,"-")</f>
        <v>4740</v>
      </c>
      <c r="Y146" s="209">
        <f t="shared" si="73"/>
        <v>2536.7999999999997</v>
      </c>
      <c r="Z146" s="208">
        <f>IFERROR(VLOOKUP($B146,NMBS_abonnementen!$G$7:$O$156,9,FALSE)*$CS$19,"-")</f>
        <v>4372</v>
      </c>
      <c r="AA146" s="209">
        <f t="shared" si="74"/>
        <v>2168.7999999999997</v>
      </c>
      <c r="AB146" s="210">
        <f>IFERROR(VLOOKUP($B146,NMBS_abonnementen!$G$7:$S$156,13,FALSE),"-")</f>
        <v>3839</v>
      </c>
      <c r="AC146" s="198">
        <f t="shared" si="82"/>
        <v>720</v>
      </c>
      <c r="AD146" s="198">
        <f t="shared" si="75"/>
        <v>50.399999999999977</v>
      </c>
      <c r="AE146" s="198">
        <f t="shared" si="76"/>
        <v>484</v>
      </c>
      <c r="AF146" s="198">
        <f t="shared" si="77"/>
        <v>-236</v>
      </c>
      <c r="AH146" s="198">
        <f t="shared" si="78"/>
        <v>669.6</v>
      </c>
      <c r="AI146" s="198">
        <f t="shared" si="79"/>
        <v>185.60000000000002</v>
      </c>
      <c r="AJ146" s="198">
        <f t="shared" si="80"/>
        <v>669.6</v>
      </c>
      <c r="AK146" s="198">
        <f t="shared" si="81"/>
        <v>0</v>
      </c>
      <c r="AL146" s="179"/>
      <c r="AM146" s="175"/>
      <c r="AN146" s="175"/>
      <c r="AX146" s="181"/>
      <c r="AY146" s="181"/>
    </row>
    <row r="147" spans="2:51" ht="12" customHeight="1">
      <c r="B147" s="110">
        <v>137</v>
      </c>
      <c r="C147" s="102">
        <f>NMBS_flexabo!$C141*$AR$15</f>
        <v>3240</v>
      </c>
      <c r="D147" s="102">
        <f>NMBS_flexabo!$D141*$AR$22</f>
        <v>2860</v>
      </c>
      <c r="E147" s="102">
        <f>NMBS_flexabo!$E141*VLOOKUP($B$5,$AS$43:$AY$43,7,FALSE)</f>
        <v>3067.2000000000003</v>
      </c>
      <c r="F147" s="102">
        <f>NMBS_flexabo!$F141*VLOOKUP($B$5,$AS$45:$AY$48,7,FALSE)</f>
        <v>3004</v>
      </c>
      <c r="G147" s="104">
        <f>IFERROR(VLOOKUP($B147,NMBS_abonnementen!$G$7:$H$156,2,FALSE),"-")*VLOOKUP($B$5,NMBS_halftijds!$P$4:$Q$44,2)</f>
        <v>3032.6400000000003</v>
      </c>
      <c r="H147" s="104">
        <f>IFERROR(VLOOKUP($B147,NMBS_abonnementen!$G$7:$I$156,3,FALSE)*$BB$22,"-")</f>
        <v>4392</v>
      </c>
      <c r="I147" s="104">
        <f>IFERROR(VLOOKUP($B147,NMBS_abonnementen!$G$7:$M$156,7,FALSE)*$BB$23,"-")</f>
        <v>4104</v>
      </c>
      <c r="J147" s="104" t="str">
        <f>IFERROR(VLOOKUP($B147,NMBS_abonnementen!$G$7:$Q$156,11,FALSE),"-")</f>
        <v xml:space="preserve"> 3664,00</v>
      </c>
      <c r="K147" s="104">
        <f>VLOOKUP($B147,NMBS_ticketten!$G$6:$I$155,3,FALSE)*$B$5*$E$5</f>
        <v>5054.3999999999996</v>
      </c>
      <c r="L147" s="101" t="str">
        <f t="shared" si="65"/>
        <v/>
      </c>
      <c r="M147" s="101">
        <f t="shared" si="66"/>
        <v>2203.2000000000003</v>
      </c>
      <c r="N147" s="103">
        <f t="shared" si="67"/>
        <v>669.6</v>
      </c>
      <c r="O147" s="174"/>
      <c r="P147" s="269">
        <f t="shared" si="68"/>
        <v>2203.2000000000003</v>
      </c>
      <c r="Q147" s="271">
        <f t="shared" si="69"/>
        <v>2203.2000000000003</v>
      </c>
      <c r="R147" s="208">
        <f>IFERROR(VLOOKUP($B147,NMBS_abonnementen!$G$7:$J$156,4,FALSE)*$CS$11,"-")</f>
        <v>4932</v>
      </c>
      <c r="S147" s="209">
        <f t="shared" si="70"/>
        <v>2728.7999999999997</v>
      </c>
      <c r="T147" s="208">
        <f>IFERROR(VLOOKUP($B147,NMBS_abonnementen!$G$7:$N$156,8,FALSE)*$CS$12,"-")</f>
        <v>4576</v>
      </c>
      <c r="U147" s="209">
        <f t="shared" si="71"/>
        <v>2372.7999999999997</v>
      </c>
      <c r="V147" s="210">
        <f>IFERROR(VLOOKUP($B147,NMBS_abonnementen!$G$7:$R$156,12,FALSE)*$CS$13,"-")</f>
        <v>3963</v>
      </c>
      <c r="W147" s="209">
        <f t="shared" si="72"/>
        <v>1759.7999999999997</v>
      </c>
      <c r="X147" s="208">
        <f>IFERROR(VLOOKUP($B147,NMBS_abonnementen!$G$7:$K$156,5,FALSE)*$CS$18,"-")</f>
        <v>4740</v>
      </c>
      <c r="Y147" s="209">
        <f t="shared" si="73"/>
        <v>2536.7999999999997</v>
      </c>
      <c r="Z147" s="208">
        <f>IFERROR(VLOOKUP($B147,NMBS_abonnementen!$G$7:$O$156,9,FALSE)*$CS$19,"-")</f>
        <v>4372</v>
      </c>
      <c r="AA147" s="209">
        <f t="shared" si="74"/>
        <v>2168.7999999999997</v>
      </c>
      <c r="AB147" s="210">
        <f>IFERROR(VLOOKUP($B147,NMBS_abonnementen!$G$7:$S$156,13,FALSE),"-")</f>
        <v>3839</v>
      </c>
      <c r="AC147" s="198">
        <f t="shared" si="82"/>
        <v>720</v>
      </c>
      <c r="AD147" s="198">
        <f t="shared" si="75"/>
        <v>50.399999999999977</v>
      </c>
      <c r="AE147" s="198">
        <f t="shared" si="76"/>
        <v>484</v>
      </c>
      <c r="AF147" s="198">
        <f t="shared" si="77"/>
        <v>-236</v>
      </c>
      <c r="AH147" s="198">
        <f t="shared" si="78"/>
        <v>669.6</v>
      </c>
      <c r="AI147" s="198">
        <f t="shared" si="79"/>
        <v>185.60000000000002</v>
      </c>
      <c r="AJ147" s="198">
        <f t="shared" si="80"/>
        <v>669.6</v>
      </c>
      <c r="AK147" s="198">
        <f t="shared" si="81"/>
        <v>0</v>
      </c>
      <c r="AL147" s="179"/>
      <c r="AM147" s="175"/>
      <c r="AN147" s="175"/>
      <c r="AX147" s="181"/>
      <c r="AY147" s="181"/>
    </row>
    <row r="148" spans="2:51" ht="12" customHeight="1">
      <c r="B148" s="110">
        <v>138</v>
      </c>
      <c r="C148" s="102">
        <f>NMBS_flexabo!$C142*$AR$15</f>
        <v>3240</v>
      </c>
      <c r="D148" s="102">
        <f>NMBS_flexabo!$D142*$AR$22</f>
        <v>2860</v>
      </c>
      <c r="E148" s="102">
        <f>NMBS_flexabo!$E142*VLOOKUP($B$5,$AS$43:$AY$43,7,FALSE)</f>
        <v>3067.2000000000003</v>
      </c>
      <c r="F148" s="102">
        <f>NMBS_flexabo!$F142*VLOOKUP($B$5,$AS$45:$AY$48,7,FALSE)</f>
        <v>3004</v>
      </c>
      <c r="G148" s="104">
        <f>IFERROR(VLOOKUP($B148,NMBS_abonnementen!$G$7:$H$156,2,FALSE),"-")*VLOOKUP($B$5,NMBS_halftijds!$P$4:$Q$44,2)</f>
        <v>3032.6400000000003</v>
      </c>
      <c r="H148" s="104">
        <f>IFERROR(VLOOKUP($B148,NMBS_abonnementen!$G$7:$I$156,3,FALSE)*$BB$22,"-")</f>
        <v>4392</v>
      </c>
      <c r="I148" s="104">
        <f>IFERROR(VLOOKUP($B148,NMBS_abonnementen!$G$7:$M$156,7,FALSE)*$BB$23,"-")</f>
        <v>4104</v>
      </c>
      <c r="J148" s="104" t="str">
        <f>IFERROR(VLOOKUP($B148,NMBS_abonnementen!$G$7:$Q$156,11,FALSE),"-")</f>
        <v xml:space="preserve"> 3664,00</v>
      </c>
      <c r="K148" s="104">
        <f>VLOOKUP($B148,NMBS_ticketten!$G$6:$I$155,3,FALSE)*$B$5*$E$5</f>
        <v>5054.3999999999996</v>
      </c>
      <c r="L148" s="101" t="str">
        <f t="shared" si="65"/>
        <v/>
      </c>
      <c r="M148" s="101">
        <f t="shared" si="66"/>
        <v>2203.2000000000003</v>
      </c>
      <c r="N148" s="103">
        <f t="shared" si="67"/>
        <v>669.6</v>
      </c>
      <c r="O148" s="174"/>
      <c r="P148" s="269">
        <f t="shared" si="68"/>
        <v>2203.2000000000003</v>
      </c>
      <c r="Q148" s="271">
        <f t="shared" si="69"/>
        <v>2203.2000000000003</v>
      </c>
      <c r="R148" s="208">
        <f>IFERROR(VLOOKUP($B148,NMBS_abonnementen!$G$7:$J$156,4,FALSE)*$CS$11,"-")</f>
        <v>4932</v>
      </c>
      <c r="S148" s="209">
        <f t="shared" si="70"/>
        <v>2728.7999999999997</v>
      </c>
      <c r="T148" s="208">
        <f>IFERROR(VLOOKUP($B148,NMBS_abonnementen!$G$7:$N$156,8,FALSE)*$CS$12,"-")</f>
        <v>4576</v>
      </c>
      <c r="U148" s="209">
        <f t="shared" si="71"/>
        <v>2372.7999999999997</v>
      </c>
      <c r="V148" s="210">
        <f>IFERROR(VLOOKUP($B148,NMBS_abonnementen!$G$7:$R$156,12,FALSE)*$CS$13,"-")</f>
        <v>3963</v>
      </c>
      <c r="W148" s="209">
        <f t="shared" si="72"/>
        <v>1759.7999999999997</v>
      </c>
      <c r="X148" s="208">
        <f>IFERROR(VLOOKUP($B148,NMBS_abonnementen!$G$7:$K$156,5,FALSE)*$CS$18,"-")</f>
        <v>4740</v>
      </c>
      <c r="Y148" s="209">
        <f t="shared" si="73"/>
        <v>2536.7999999999997</v>
      </c>
      <c r="Z148" s="208">
        <f>IFERROR(VLOOKUP($B148,NMBS_abonnementen!$G$7:$O$156,9,FALSE)*$CS$19,"-")</f>
        <v>4372</v>
      </c>
      <c r="AA148" s="209">
        <f t="shared" si="74"/>
        <v>2168.7999999999997</v>
      </c>
      <c r="AB148" s="210">
        <f>IFERROR(VLOOKUP($B148,NMBS_abonnementen!$G$7:$S$156,13,FALSE),"-")</f>
        <v>3839</v>
      </c>
      <c r="AC148" s="198">
        <f t="shared" si="82"/>
        <v>720</v>
      </c>
      <c r="AD148" s="198">
        <f t="shared" si="75"/>
        <v>50.399999999999977</v>
      </c>
      <c r="AE148" s="198">
        <f t="shared" si="76"/>
        <v>484</v>
      </c>
      <c r="AF148" s="198">
        <f t="shared" si="77"/>
        <v>-236</v>
      </c>
      <c r="AH148" s="198">
        <f t="shared" si="78"/>
        <v>669.6</v>
      </c>
      <c r="AI148" s="198">
        <f t="shared" si="79"/>
        <v>185.60000000000002</v>
      </c>
      <c r="AJ148" s="198">
        <f t="shared" si="80"/>
        <v>669.6</v>
      </c>
      <c r="AK148" s="198">
        <f t="shared" si="81"/>
        <v>0</v>
      </c>
      <c r="AL148" s="179"/>
      <c r="AM148" s="175"/>
      <c r="AN148" s="175"/>
      <c r="AX148" s="181"/>
      <c r="AY148" s="181"/>
    </row>
    <row r="149" spans="2:51" ht="12" customHeight="1">
      <c r="B149" s="110">
        <v>139</v>
      </c>
      <c r="C149" s="102">
        <f>NMBS_flexabo!$C143*$AR$15</f>
        <v>3240</v>
      </c>
      <c r="D149" s="102">
        <f>NMBS_flexabo!$D143*$AR$22</f>
        <v>2860</v>
      </c>
      <c r="E149" s="102">
        <f>NMBS_flexabo!$E143*VLOOKUP($B$5,$AS$43:$AY$43,7,FALSE)</f>
        <v>3067.2000000000003</v>
      </c>
      <c r="F149" s="102">
        <f>NMBS_flexabo!$F143*VLOOKUP($B$5,$AS$45:$AY$48,7,FALSE)</f>
        <v>3004</v>
      </c>
      <c r="G149" s="104">
        <f>IFERROR(VLOOKUP($B149,NMBS_abonnementen!$G$7:$H$156,2,FALSE),"-")*VLOOKUP($B$5,NMBS_halftijds!$P$4:$Q$44,2)</f>
        <v>3032.6400000000003</v>
      </c>
      <c r="H149" s="104">
        <f>IFERROR(VLOOKUP($B149,NMBS_abonnementen!$G$7:$I$156,3,FALSE)*$BB$22,"-")</f>
        <v>4392</v>
      </c>
      <c r="I149" s="104">
        <f>IFERROR(VLOOKUP($B149,NMBS_abonnementen!$G$7:$M$156,7,FALSE)*$BB$23,"-")</f>
        <v>4104</v>
      </c>
      <c r="J149" s="104" t="str">
        <f>IFERROR(VLOOKUP($B149,NMBS_abonnementen!$G$7:$Q$156,11,FALSE),"-")</f>
        <v xml:space="preserve"> 3664,00</v>
      </c>
      <c r="K149" s="104">
        <f>VLOOKUP($B149,NMBS_ticketten!$G$6:$I$155,3,FALSE)*$B$5*$E$5</f>
        <v>5054.3999999999996</v>
      </c>
      <c r="L149" s="101" t="str">
        <f t="shared" si="65"/>
        <v/>
      </c>
      <c r="M149" s="101">
        <f t="shared" si="66"/>
        <v>2203.2000000000003</v>
      </c>
      <c r="N149" s="103">
        <f t="shared" si="67"/>
        <v>669.6</v>
      </c>
      <c r="O149" s="174"/>
      <c r="P149" s="269">
        <f t="shared" si="68"/>
        <v>2203.2000000000003</v>
      </c>
      <c r="Q149" s="271">
        <f t="shared" si="69"/>
        <v>2203.2000000000003</v>
      </c>
      <c r="R149" s="208">
        <f>IFERROR(VLOOKUP($B149,NMBS_abonnementen!$G$7:$J$156,4,FALSE)*$CS$11,"-")</f>
        <v>4932</v>
      </c>
      <c r="S149" s="209">
        <f t="shared" si="70"/>
        <v>2728.7999999999997</v>
      </c>
      <c r="T149" s="208">
        <f>IFERROR(VLOOKUP($B149,NMBS_abonnementen!$G$7:$N$156,8,FALSE)*$CS$12,"-")</f>
        <v>4576</v>
      </c>
      <c r="U149" s="209">
        <f t="shared" si="71"/>
        <v>2372.7999999999997</v>
      </c>
      <c r="V149" s="210">
        <f>IFERROR(VLOOKUP($B149,NMBS_abonnementen!$G$7:$R$156,12,FALSE)*$CS$13,"-")</f>
        <v>3963</v>
      </c>
      <c r="W149" s="209">
        <f t="shared" si="72"/>
        <v>1759.7999999999997</v>
      </c>
      <c r="X149" s="208">
        <f>IFERROR(VLOOKUP($B149,NMBS_abonnementen!$G$7:$K$156,5,FALSE)*$CS$18,"-")</f>
        <v>4740</v>
      </c>
      <c r="Y149" s="209">
        <f t="shared" si="73"/>
        <v>2536.7999999999997</v>
      </c>
      <c r="Z149" s="208">
        <f>IFERROR(VLOOKUP($B149,NMBS_abonnementen!$G$7:$O$156,9,FALSE)*$CS$19,"-")</f>
        <v>4372</v>
      </c>
      <c r="AA149" s="209">
        <f t="shared" si="74"/>
        <v>2168.7999999999997</v>
      </c>
      <c r="AB149" s="210">
        <f>IFERROR(VLOOKUP($B149,NMBS_abonnementen!$G$7:$S$156,13,FALSE),"-")</f>
        <v>3839</v>
      </c>
      <c r="AC149" s="198">
        <f t="shared" si="82"/>
        <v>720</v>
      </c>
      <c r="AD149" s="198">
        <f t="shared" si="75"/>
        <v>50.399999999999977</v>
      </c>
      <c r="AE149" s="198">
        <f t="shared" si="76"/>
        <v>484</v>
      </c>
      <c r="AF149" s="198">
        <f t="shared" si="77"/>
        <v>-236</v>
      </c>
      <c r="AH149" s="198">
        <f t="shared" si="78"/>
        <v>669.6</v>
      </c>
      <c r="AI149" s="198">
        <f t="shared" si="79"/>
        <v>185.60000000000002</v>
      </c>
      <c r="AJ149" s="198">
        <f t="shared" si="80"/>
        <v>669.6</v>
      </c>
      <c r="AK149" s="198">
        <f t="shared" si="81"/>
        <v>0</v>
      </c>
      <c r="AL149" s="179"/>
      <c r="AM149" s="175"/>
      <c r="AN149" s="175"/>
      <c r="AX149" s="181"/>
      <c r="AY149" s="181"/>
    </row>
    <row r="150" spans="2:51" ht="12" customHeight="1">
      <c r="B150" s="110">
        <v>140</v>
      </c>
      <c r="C150" s="102">
        <f>NMBS_flexabo!$C144*$AR$15</f>
        <v>3240</v>
      </c>
      <c r="D150" s="102">
        <f>NMBS_flexabo!$D144*$AR$22</f>
        <v>2860</v>
      </c>
      <c r="E150" s="102">
        <f>NMBS_flexabo!$E144*VLOOKUP($B$5,$AS$43:$AY$43,7,FALSE)</f>
        <v>3067.2000000000003</v>
      </c>
      <c r="F150" s="102">
        <f>NMBS_flexabo!$F144*VLOOKUP($B$5,$AS$45:$AY$48,7,FALSE)</f>
        <v>3004</v>
      </c>
      <c r="G150" s="104">
        <f>IFERROR(VLOOKUP($B150,NMBS_abonnementen!$G$7:$H$156,2,FALSE),"-")*VLOOKUP($B$5,NMBS_halftijds!$P$4:$Q$44,2)</f>
        <v>3032.6400000000003</v>
      </c>
      <c r="H150" s="104">
        <f>IFERROR(VLOOKUP($B150,NMBS_abonnementen!$G$7:$I$156,3,FALSE)*$BB$22,"-")</f>
        <v>4392</v>
      </c>
      <c r="I150" s="104">
        <f>IFERROR(VLOOKUP($B150,NMBS_abonnementen!$G$7:$M$156,7,FALSE)*$BB$23,"-")</f>
        <v>4104</v>
      </c>
      <c r="J150" s="104" t="str">
        <f>IFERROR(VLOOKUP($B150,NMBS_abonnementen!$G$7:$Q$156,11,FALSE),"-")</f>
        <v xml:space="preserve"> 3664,00</v>
      </c>
      <c r="K150" s="104">
        <f>VLOOKUP($B150,NMBS_ticketten!$G$6:$I$155,3,FALSE)*$B$5*$E$5</f>
        <v>5054.3999999999996</v>
      </c>
      <c r="L150" s="101" t="str">
        <f t="shared" si="65"/>
        <v/>
      </c>
      <c r="M150" s="101">
        <f t="shared" si="66"/>
        <v>2203.2000000000003</v>
      </c>
      <c r="N150" s="103">
        <f t="shared" si="67"/>
        <v>669.6</v>
      </c>
      <c r="O150" s="174"/>
      <c r="P150" s="269">
        <f t="shared" si="68"/>
        <v>2203.2000000000003</v>
      </c>
      <c r="Q150" s="271">
        <f t="shared" si="69"/>
        <v>2203.2000000000003</v>
      </c>
      <c r="R150" s="208">
        <f>IFERROR(VLOOKUP($B150,NMBS_abonnementen!$G$7:$J$156,4,FALSE)*$CS$11,"-")</f>
        <v>4932</v>
      </c>
      <c r="S150" s="209">
        <f t="shared" si="70"/>
        <v>2728.7999999999997</v>
      </c>
      <c r="T150" s="208">
        <f>IFERROR(VLOOKUP($B150,NMBS_abonnementen!$G$7:$N$156,8,FALSE)*$CS$12,"-")</f>
        <v>4576</v>
      </c>
      <c r="U150" s="209">
        <f t="shared" si="71"/>
        <v>2372.7999999999997</v>
      </c>
      <c r="V150" s="210">
        <f>IFERROR(VLOOKUP($B150,NMBS_abonnementen!$G$7:$R$156,12,FALSE)*$CS$13,"-")</f>
        <v>3963</v>
      </c>
      <c r="W150" s="209">
        <f t="shared" si="72"/>
        <v>1759.7999999999997</v>
      </c>
      <c r="X150" s="208">
        <f>IFERROR(VLOOKUP($B150,NMBS_abonnementen!$G$7:$K$156,5,FALSE)*$CS$18,"-")</f>
        <v>4740</v>
      </c>
      <c r="Y150" s="209">
        <f t="shared" si="73"/>
        <v>2536.7999999999997</v>
      </c>
      <c r="Z150" s="208">
        <f>IFERROR(VLOOKUP($B150,NMBS_abonnementen!$G$7:$O$156,9,FALSE)*$CS$19,"-")</f>
        <v>4372</v>
      </c>
      <c r="AA150" s="209">
        <f t="shared" si="74"/>
        <v>2168.7999999999997</v>
      </c>
      <c r="AB150" s="210">
        <f>IFERROR(VLOOKUP($B150,NMBS_abonnementen!$G$7:$S$156,13,FALSE),"-")</f>
        <v>3839</v>
      </c>
      <c r="AC150" s="198">
        <f t="shared" si="82"/>
        <v>720</v>
      </c>
      <c r="AD150" s="198">
        <f t="shared" si="75"/>
        <v>50.399999999999977</v>
      </c>
      <c r="AE150" s="198">
        <f t="shared" si="76"/>
        <v>484</v>
      </c>
      <c r="AF150" s="198">
        <f t="shared" si="77"/>
        <v>-236</v>
      </c>
      <c r="AH150" s="198">
        <f t="shared" si="78"/>
        <v>669.6</v>
      </c>
      <c r="AI150" s="198">
        <f t="shared" si="79"/>
        <v>185.60000000000002</v>
      </c>
      <c r="AJ150" s="198">
        <f t="shared" si="80"/>
        <v>669.6</v>
      </c>
      <c r="AK150" s="198">
        <f t="shared" si="81"/>
        <v>0</v>
      </c>
      <c r="AL150" s="179"/>
      <c r="AM150" s="175"/>
      <c r="AN150" s="175"/>
      <c r="AX150" s="181"/>
      <c r="AY150" s="181"/>
    </row>
    <row r="151" spans="2:51" ht="12" customHeight="1">
      <c r="B151" s="110">
        <v>141</v>
      </c>
      <c r="C151" s="102">
        <f>NMBS_flexabo!$C145*$AR$15</f>
        <v>3312</v>
      </c>
      <c r="D151" s="102">
        <f>NMBS_flexabo!$D145*$AR$22</f>
        <v>2937</v>
      </c>
      <c r="E151" s="102">
        <f>NMBS_flexabo!$E145*VLOOKUP($B$5,$AS$43:$AY$43,7,FALSE)</f>
        <v>3149.55</v>
      </c>
      <c r="F151" s="102">
        <f>NMBS_flexabo!$F145*VLOOKUP($B$5,$AS$45:$AY$48,7,FALSE)</f>
        <v>3085</v>
      </c>
      <c r="G151" s="104">
        <f>IFERROR(VLOOKUP($B151,NMBS_abonnementen!$G$7:$H$156,2,FALSE),"-")*VLOOKUP($B$5,NMBS_halftijds!$P$4:$Q$44,2)</f>
        <v>3105.4233600000002</v>
      </c>
      <c r="H151" s="104">
        <f>IFERROR(VLOOKUP($B151,NMBS_abonnementen!$G$7:$I$156,3,FALSE)*$BB$22,"-")</f>
        <v>4512</v>
      </c>
      <c r="I151" s="104">
        <f>IFERROR(VLOOKUP($B151,NMBS_abonnementen!$G$7:$M$156,7,FALSE)*$BB$23,"-")</f>
        <v>4212</v>
      </c>
      <c r="J151" s="104" t="str">
        <f>IFERROR(VLOOKUP($B151,NMBS_abonnementen!$G$7:$Q$156,11,FALSE),"-")</f>
        <v xml:space="preserve"> 3762,00</v>
      </c>
      <c r="K151" s="104">
        <f>VLOOKUP($B151,NMBS_ticketten!$G$6:$I$155,3,FALSE)*$B$5*$E$5</f>
        <v>5227.2</v>
      </c>
      <c r="L151" s="101" t="str">
        <f t="shared" si="65"/>
        <v/>
      </c>
      <c r="M151" s="101">
        <f t="shared" si="66"/>
        <v>2203.2000000000003</v>
      </c>
      <c r="N151" s="103">
        <f t="shared" si="67"/>
        <v>669.6</v>
      </c>
      <c r="O151" s="174"/>
      <c r="P151" s="269">
        <f t="shared" si="68"/>
        <v>2203.2000000000003</v>
      </c>
      <c r="Q151" s="271">
        <f t="shared" si="69"/>
        <v>2203.2000000000003</v>
      </c>
      <c r="R151" s="208">
        <f>IFERROR(VLOOKUP($B151,NMBS_abonnementen!$G$7:$J$156,4,FALSE)*$CS$11,"-")</f>
        <v>5052</v>
      </c>
      <c r="S151" s="209">
        <f t="shared" si="70"/>
        <v>2848.7999999999997</v>
      </c>
      <c r="T151" s="208">
        <f>IFERROR(VLOOKUP($B151,NMBS_abonnementen!$G$7:$N$156,8,FALSE)*$CS$12,"-")</f>
        <v>4684</v>
      </c>
      <c r="U151" s="209">
        <f t="shared" si="71"/>
        <v>2480.7999999999997</v>
      </c>
      <c r="V151" s="210">
        <f>IFERROR(VLOOKUP($B151,NMBS_abonnementen!$G$7:$R$156,12,FALSE)*$CS$13,"-")</f>
        <v>4061</v>
      </c>
      <c r="W151" s="209">
        <f t="shared" si="72"/>
        <v>1857.7999999999997</v>
      </c>
      <c r="X151" s="208">
        <f>IFERROR(VLOOKUP($B151,NMBS_abonnementen!$G$7:$K$156,5,FALSE)*$CS$18,"-")</f>
        <v>4860</v>
      </c>
      <c r="Y151" s="209">
        <f t="shared" si="73"/>
        <v>2656.7999999999997</v>
      </c>
      <c r="Z151" s="208">
        <f>IFERROR(VLOOKUP($B151,NMBS_abonnementen!$G$7:$O$156,9,FALSE)*$CS$19,"-")</f>
        <v>4480</v>
      </c>
      <c r="AA151" s="209">
        <f t="shared" si="74"/>
        <v>2276.7999999999997</v>
      </c>
      <c r="AB151" s="210">
        <f>IFERROR(VLOOKUP($B151,NMBS_abonnementen!$G$7:$S$156,13,FALSE),"-")</f>
        <v>3937</v>
      </c>
      <c r="AC151" s="198">
        <f t="shared" si="82"/>
        <v>720</v>
      </c>
      <c r="AD151" s="198">
        <f t="shared" si="75"/>
        <v>50.399999999999977</v>
      </c>
      <c r="AE151" s="198">
        <f t="shared" si="76"/>
        <v>484</v>
      </c>
      <c r="AF151" s="198">
        <f t="shared" si="77"/>
        <v>-236</v>
      </c>
      <c r="AH151" s="198">
        <f t="shared" si="78"/>
        <v>669.6</v>
      </c>
      <c r="AI151" s="198">
        <f t="shared" si="79"/>
        <v>185.60000000000002</v>
      </c>
      <c r="AJ151" s="198">
        <f t="shared" si="80"/>
        <v>669.6</v>
      </c>
      <c r="AK151" s="198">
        <f t="shared" si="81"/>
        <v>0</v>
      </c>
      <c r="AL151" s="179"/>
      <c r="AM151" s="175"/>
      <c r="AN151" s="175"/>
      <c r="AX151" s="181"/>
      <c r="AY151" s="181"/>
    </row>
    <row r="152" spans="2:51" ht="12" customHeight="1">
      <c r="B152" s="110">
        <v>142</v>
      </c>
      <c r="C152" s="102">
        <f>NMBS_flexabo!$C146*$AR$15</f>
        <v>3312</v>
      </c>
      <c r="D152" s="102">
        <f>NMBS_flexabo!$D146*$AR$22</f>
        <v>2937</v>
      </c>
      <c r="E152" s="102">
        <f>NMBS_flexabo!$E146*VLOOKUP($B$5,$AS$43:$AY$43,7,FALSE)</f>
        <v>3149.55</v>
      </c>
      <c r="F152" s="102">
        <f>NMBS_flexabo!$F146*VLOOKUP($B$5,$AS$45:$AY$48,7,FALSE)</f>
        <v>3085</v>
      </c>
      <c r="G152" s="104">
        <f>IFERROR(VLOOKUP($B152,NMBS_abonnementen!$G$7:$H$156,2,FALSE),"-")*VLOOKUP($B$5,NMBS_halftijds!$P$4:$Q$44,2)</f>
        <v>3105.4233600000002</v>
      </c>
      <c r="H152" s="104">
        <f>IFERROR(VLOOKUP($B152,NMBS_abonnementen!$G$7:$I$156,3,FALSE)*$BB$22,"-")</f>
        <v>4512</v>
      </c>
      <c r="I152" s="104">
        <f>IFERROR(VLOOKUP($B152,NMBS_abonnementen!$G$7:$M$156,7,FALSE)*$BB$23,"-")</f>
        <v>4212</v>
      </c>
      <c r="J152" s="104" t="str">
        <f>IFERROR(VLOOKUP($B152,NMBS_abonnementen!$G$7:$Q$156,11,FALSE),"-")</f>
        <v xml:space="preserve"> 3762,00</v>
      </c>
      <c r="K152" s="104">
        <f>VLOOKUP($B152,NMBS_ticketten!$G$6:$I$155,3,FALSE)*$B$5*$E$5</f>
        <v>5227.2</v>
      </c>
      <c r="L152" s="101" t="str">
        <f t="shared" si="65"/>
        <v/>
      </c>
      <c r="M152" s="101">
        <f t="shared" si="66"/>
        <v>2203.2000000000003</v>
      </c>
      <c r="N152" s="103">
        <f t="shared" si="67"/>
        <v>669.6</v>
      </c>
      <c r="O152" s="174"/>
      <c r="P152" s="269">
        <f t="shared" si="68"/>
        <v>2203.2000000000003</v>
      </c>
      <c r="Q152" s="271">
        <f t="shared" si="69"/>
        <v>2203.2000000000003</v>
      </c>
      <c r="R152" s="208">
        <f>IFERROR(VLOOKUP($B152,NMBS_abonnementen!$G$7:$J$156,4,FALSE)*$CS$11,"-")</f>
        <v>5052</v>
      </c>
      <c r="S152" s="209">
        <f t="shared" si="70"/>
        <v>2848.7999999999997</v>
      </c>
      <c r="T152" s="208">
        <f>IFERROR(VLOOKUP($B152,NMBS_abonnementen!$G$7:$N$156,8,FALSE)*$CS$12,"-")</f>
        <v>4684</v>
      </c>
      <c r="U152" s="209">
        <f t="shared" si="71"/>
        <v>2480.7999999999997</v>
      </c>
      <c r="V152" s="210">
        <f>IFERROR(VLOOKUP($B152,NMBS_abonnementen!$G$7:$R$156,12,FALSE)*$CS$13,"-")</f>
        <v>4061</v>
      </c>
      <c r="W152" s="209">
        <f t="shared" si="72"/>
        <v>1857.7999999999997</v>
      </c>
      <c r="X152" s="208">
        <f>IFERROR(VLOOKUP($B152,NMBS_abonnementen!$G$7:$K$156,5,FALSE)*$CS$18,"-")</f>
        <v>4860</v>
      </c>
      <c r="Y152" s="209">
        <f t="shared" si="73"/>
        <v>2656.7999999999997</v>
      </c>
      <c r="Z152" s="208">
        <f>IFERROR(VLOOKUP($B152,NMBS_abonnementen!$G$7:$O$156,9,FALSE)*$CS$19,"-")</f>
        <v>4480</v>
      </c>
      <c r="AA152" s="209">
        <f t="shared" si="74"/>
        <v>2276.7999999999997</v>
      </c>
      <c r="AB152" s="210">
        <f>IFERROR(VLOOKUP($B152,NMBS_abonnementen!$G$7:$S$156,13,FALSE),"-")</f>
        <v>3937</v>
      </c>
      <c r="AC152" s="198">
        <f t="shared" si="82"/>
        <v>720</v>
      </c>
      <c r="AD152" s="198">
        <f t="shared" si="75"/>
        <v>50.399999999999977</v>
      </c>
      <c r="AE152" s="198">
        <f t="shared" si="76"/>
        <v>484</v>
      </c>
      <c r="AF152" s="198">
        <f t="shared" si="77"/>
        <v>-236</v>
      </c>
      <c r="AH152" s="198">
        <f t="shared" si="78"/>
        <v>669.6</v>
      </c>
      <c r="AI152" s="198">
        <f t="shared" si="79"/>
        <v>185.60000000000002</v>
      </c>
      <c r="AJ152" s="198">
        <f t="shared" si="80"/>
        <v>669.6</v>
      </c>
      <c r="AK152" s="198">
        <f t="shared" si="81"/>
        <v>0</v>
      </c>
      <c r="AL152" s="179"/>
      <c r="AM152" s="175"/>
      <c r="AN152" s="175"/>
      <c r="AX152" s="181"/>
      <c r="AY152" s="181"/>
    </row>
    <row r="153" spans="2:51" ht="12" customHeight="1">
      <c r="B153" s="110">
        <v>143</v>
      </c>
      <c r="C153" s="102">
        <f>NMBS_flexabo!$C147*$AR$15</f>
        <v>3312</v>
      </c>
      <c r="D153" s="102">
        <f>NMBS_flexabo!$D147*$AR$22</f>
        <v>2937</v>
      </c>
      <c r="E153" s="102">
        <f>NMBS_flexabo!$E147*VLOOKUP($B$5,$AS$43:$AY$43,7,FALSE)</f>
        <v>3149.55</v>
      </c>
      <c r="F153" s="102">
        <f>NMBS_flexabo!$F147*VLOOKUP($B$5,$AS$45:$AY$48,7,FALSE)</f>
        <v>3085</v>
      </c>
      <c r="G153" s="104">
        <f>IFERROR(VLOOKUP($B153,NMBS_abonnementen!$G$7:$H$156,2,FALSE),"-")*VLOOKUP($B$5,NMBS_halftijds!$P$4:$Q$44,2)</f>
        <v>3105.4233600000002</v>
      </c>
      <c r="H153" s="104">
        <f>IFERROR(VLOOKUP($B153,NMBS_abonnementen!$G$7:$I$156,3,FALSE)*$BB$22,"-")</f>
        <v>4512</v>
      </c>
      <c r="I153" s="104">
        <f>IFERROR(VLOOKUP($B153,NMBS_abonnementen!$G$7:$M$156,7,FALSE)*$BB$23,"-")</f>
        <v>4212</v>
      </c>
      <c r="J153" s="104" t="str">
        <f>IFERROR(VLOOKUP($B153,NMBS_abonnementen!$G$7:$Q$156,11,FALSE),"-")</f>
        <v xml:space="preserve"> 3762,00</v>
      </c>
      <c r="K153" s="104">
        <f>VLOOKUP($B153,NMBS_ticketten!$G$6:$I$155,3,FALSE)*$B$5*$E$5</f>
        <v>5227.2</v>
      </c>
      <c r="L153" s="101" t="str">
        <f t="shared" si="65"/>
        <v/>
      </c>
      <c r="M153" s="101">
        <f t="shared" si="66"/>
        <v>2203.2000000000003</v>
      </c>
      <c r="N153" s="103">
        <f t="shared" si="67"/>
        <v>669.6</v>
      </c>
      <c r="O153" s="174"/>
      <c r="P153" s="269">
        <f t="shared" si="68"/>
        <v>2203.2000000000003</v>
      </c>
      <c r="Q153" s="271">
        <f t="shared" si="69"/>
        <v>2203.2000000000003</v>
      </c>
      <c r="R153" s="208">
        <f>IFERROR(VLOOKUP($B153,NMBS_abonnementen!$G$7:$J$156,4,FALSE)*$CS$11,"-")</f>
        <v>5052</v>
      </c>
      <c r="S153" s="209">
        <f t="shared" si="70"/>
        <v>2848.7999999999997</v>
      </c>
      <c r="T153" s="208">
        <f>IFERROR(VLOOKUP($B153,NMBS_abonnementen!$G$7:$N$156,8,FALSE)*$CS$12,"-")</f>
        <v>4684</v>
      </c>
      <c r="U153" s="209">
        <f t="shared" si="71"/>
        <v>2480.7999999999997</v>
      </c>
      <c r="V153" s="210">
        <f>IFERROR(VLOOKUP($B153,NMBS_abonnementen!$G$7:$R$156,12,FALSE)*$CS$13,"-")</f>
        <v>4061</v>
      </c>
      <c r="W153" s="209">
        <f t="shared" si="72"/>
        <v>1857.7999999999997</v>
      </c>
      <c r="X153" s="208">
        <f>IFERROR(VLOOKUP($B153,NMBS_abonnementen!$G$7:$K$156,5,FALSE)*$CS$18,"-")</f>
        <v>4860</v>
      </c>
      <c r="Y153" s="209">
        <f t="shared" si="73"/>
        <v>2656.7999999999997</v>
      </c>
      <c r="Z153" s="208">
        <f>IFERROR(VLOOKUP($B153,NMBS_abonnementen!$G$7:$O$156,9,FALSE)*$CS$19,"-")</f>
        <v>4480</v>
      </c>
      <c r="AA153" s="209">
        <f t="shared" si="74"/>
        <v>2276.7999999999997</v>
      </c>
      <c r="AB153" s="210">
        <f>IFERROR(VLOOKUP($B153,NMBS_abonnementen!$G$7:$S$156,13,FALSE),"-")</f>
        <v>3937</v>
      </c>
      <c r="AC153" s="198">
        <f t="shared" si="82"/>
        <v>720</v>
      </c>
      <c r="AD153" s="198">
        <f t="shared" si="75"/>
        <v>50.399999999999977</v>
      </c>
      <c r="AE153" s="198">
        <f t="shared" si="76"/>
        <v>484</v>
      </c>
      <c r="AF153" s="198">
        <f t="shared" si="77"/>
        <v>-236</v>
      </c>
      <c r="AH153" s="198">
        <f t="shared" si="78"/>
        <v>669.6</v>
      </c>
      <c r="AI153" s="198">
        <f t="shared" si="79"/>
        <v>185.60000000000002</v>
      </c>
      <c r="AJ153" s="198">
        <f t="shared" si="80"/>
        <v>669.6</v>
      </c>
      <c r="AK153" s="198">
        <f t="shared" si="81"/>
        <v>0</v>
      </c>
      <c r="AL153" s="179"/>
      <c r="AM153" s="175"/>
      <c r="AN153" s="175"/>
      <c r="AX153" s="181"/>
      <c r="AY153" s="181"/>
    </row>
    <row r="154" spans="2:51" ht="12" customHeight="1">
      <c r="B154" s="110">
        <v>144</v>
      </c>
      <c r="C154" s="102">
        <f>NMBS_flexabo!$C148*$AR$15</f>
        <v>3312</v>
      </c>
      <c r="D154" s="102">
        <f>NMBS_flexabo!$D148*$AR$22</f>
        <v>2937</v>
      </c>
      <c r="E154" s="102">
        <f>NMBS_flexabo!$E148*VLOOKUP($B$5,$AS$43:$AY$43,7,FALSE)</f>
        <v>3149.55</v>
      </c>
      <c r="F154" s="102">
        <f>NMBS_flexabo!$F148*VLOOKUP($B$5,$AS$45:$AY$48,7,FALSE)</f>
        <v>3085</v>
      </c>
      <c r="G154" s="104">
        <f>IFERROR(VLOOKUP($B154,NMBS_abonnementen!$G$7:$H$156,2,FALSE),"-")*VLOOKUP($B$5,NMBS_halftijds!$P$4:$Q$44,2)</f>
        <v>3105.4233600000002</v>
      </c>
      <c r="H154" s="104">
        <f>IFERROR(VLOOKUP($B154,NMBS_abonnementen!$G$7:$I$156,3,FALSE)*$BB$22,"-")</f>
        <v>4512</v>
      </c>
      <c r="I154" s="104">
        <f>IFERROR(VLOOKUP($B154,NMBS_abonnementen!$G$7:$M$156,7,FALSE)*$BB$23,"-")</f>
        <v>4212</v>
      </c>
      <c r="J154" s="104" t="str">
        <f>IFERROR(VLOOKUP($B154,NMBS_abonnementen!$G$7:$Q$156,11,FALSE),"-")</f>
        <v xml:space="preserve"> 3762,00</v>
      </c>
      <c r="K154" s="104">
        <f>VLOOKUP($B154,NMBS_ticketten!$G$6:$I$155,3,FALSE)*$B$5*$E$5</f>
        <v>5227.2</v>
      </c>
      <c r="L154" s="101" t="str">
        <f t="shared" si="65"/>
        <v/>
      </c>
      <c r="M154" s="101">
        <f t="shared" si="66"/>
        <v>2203.2000000000003</v>
      </c>
      <c r="N154" s="103">
        <f t="shared" si="67"/>
        <v>669.6</v>
      </c>
      <c r="O154" s="174"/>
      <c r="P154" s="269">
        <f t="shared" si="68"/>
        <v>2203.2000000000003</v>
      </c>
      <c r="Q154" s="271">
        <f t="shared" si="69"/>
        <v>2203.2000000000003</v>
      </c>
      <c r="R154" s="208">
        <f>IFERROR(VLOOKUP($B154,NMBS_abonnementen!$G$7:$J$156,4,FALSE)*$CS$11,"-")</f>
        <v>5052</v>
      </c>
      <c r="S154" s="209">
        <f t="shared" si="70"/>
        <v>2848.7999999999997</v>
      </c>
      <c r="T154" s="208">
        <f>IFERROR(VLOOKUP($B154,NMBS_abonnementen!$G$7:$N$156,8,FALSE)*$CS$12,"-")</f>
        <v>4684</v>
      </c>
      <c r="U154" s="209">
        <f t="shared" si="71"/>
        <v>2480.7999999999997</v>
      </c>
      <c r="V154" s="210">
        <f>IFERROR(VLOOKUP($B154,NMBS_abonnementen!$G$7:$R$156,12,FALSE)*$CS$13,"-")</f>
        <v>4061</v>
      </c>
      <c r="W154" s="209">
        <f t="shared" si="72"/>
        <v>1857.7999999999997</v>
      </c>
      <c r="X154" s="208">
        <f>IFERROR(VLOOKUP($B154,NMBS_abonnementen!$G$7:$K$156,5,FALSE)*$CS$18,"-")</f>
        <v>4860</v>
      </c>
      <c r="Y154" s="209">
        <f t="shared" si="73"/>
        <v>2656.7999999999997</v>
      </c>
      <c r="Z154" s="208">
        <f>IFERROR(VLOOKUP($B154,NMBS_abonnementen!$G$7:$O$156,9,FALSE)*$CS$19,"-")</f>
        <v>4480</v>
      </c>
      <c r="AA154" s="209">
        <f t="shared" si="74"/>
        <v>2276.7999999999997</v>
      </c>
      <c r="AB154" s="210">
        <f>IFERROR(VLOOKUP($B154,NMBS_abonnementen!$G$7:$S$156,13,FALSE),"-")</f>
        <v>3937</v>
      </c>
      <c r="AC154" s="198">
        <f t="shared" si="82"/>
        <v>720</v>
      </c>
      <c r="AD154" s="198">
        <f t="shared" si="75"/>
        <v>50.399999999999977</v>
      </c>
      <c r="AE154" s="198">
        <f t="shared" si="76"/>
        <v>484</v>
      </c>
      <c r="AF154" s="198">
        <f t="shared" si="77"/>
        <v>-236</v>
      </c>
      <c r="AH154" s="198">
        <f t="shared" si="78"/>
        <v>669.6</v>
      </c>
      <c r="AI154" s="198">
        <f t="shared" si="79"/>
        <v>185.60000000000002</v>
      </c>
      <c r="AJ154" s="198">
        <f t="shared" si="80"/>
        <v>669.6</v>
      </c>
      <c r="AK154" s="198">
        <f t="shared" si="81"/>
        <v>0</v>
      </c>
      <c r="AL154" s="179"/>
      <c r="AM154" s="175"/>
      <c r="AN154" s="175"/>
      <c r="AX154" s="181"/>
      <c r="AY154" s="181"/>
    </row>
    <row r="155" spans="2:51" ht="12" customHeight="1">
      <c r="B155" s="110">
        <v>145</v>
      </c>
      <c r="C155" s="102">
        <f>NMBS_flexabo!$C149*$AR$15</f>
        <v>3312</v>
      </c>
      <c r="D155" s="102">
        <f>NMBS_flexabo!$D149*$AR$22</f>
        <v>2937</v>
      </c>
      <c r="E155" s="102">
        <f>NMBS_flexabo!$E149*VLOOKUP($B$5,$AS$43:$AY$43,7,FALSE)</f>
        <v>3149.55</v>
      </c>
      <c r="F155" s="102">
        <f>NMBS_flexabo!$F149*VLOOKUP($B$5,$AS$45:$AY$48,7,FALSE)</f>
        <v>3085</v>
      </c>
      <c r="G155" s="104">
        <f>IFERROR(VLOOKUP($B155,NMBS_abonnementen!$G$7:$H$156,2,FALSE),"-")*VLOOKUP($B$5,NMBS_halftijds!$P$4:$Q$44,2)</f>
        <v>3105.4233600000002</v>
      </c>
      <c r="H155" s="104">
        <f>IFERROR(VLOOKUP($B155,NMBS_abonnementen!$G$7:$I$156,3,FALSE)*$BB$22,"-")</f>
        <v>4512</v>
      </c>
      <c r="I155" s="104">
        <f>IFERROR(VLOOKUP($B155,NMBS_abonnementen!$G$7:$M$156,7,FALSE)*$BB$23,"-")</f>
        <v>4212</v>
      </c>
      <c r="J155" s="104" t="str">
        <f>IFERROR(VLOOKUP($B155,NMBS_abonnementen!$G$7:$Q$156,11,FALSE),"-")</f>
        <v xml:space="preserve"> 3762,00</v>
      </c>
      <c r="K155" s="104">
        <f>VLOOKUP($B155,NMBS_ticketten!$G$6:$I$155,3,FALSE)*$B$5*$E$5</f>
        <v>5227.2</v>
      </c>
      <c r="L155" s="101" t="str">
        <f t="shared" si="65"/>
        <v/>
      </c>
      <c r="M155" s="101">
        <f t="shared" si="66"/>
        <v>2203.2000000000003</v>
      </c>
      <c r="N155" s="103">
        <f t="shared" si="67"/>
        <v>669.6</v>
      </c>
      <c r="O155" s="174"/>
      <c r="P155" s="269">
        <f t="shared" si="68"/>
        <v>2203.2000000000003</v>
      </c>
      <c r="Q155" s="271">
        <f t="shared" si="69"/>
        <v>2203.2000000000003</v>
      </c>
      <c r="R155" s="208">
        <f>IFERROR(VLOOKUP($B155,NMBS_abonnementen!$G$7:$J$156,4,FALSE)*$CS$11,"-")</f>
        <v>5052</v>
      </c>
      <c r="S155" s="209">
        <f t="shared" si="70"/>
        <v>2848.7999999999997</v>
      </c>
      <c r="T155" s="208">
        <f>IFERROR(VLOOKUP($B155,NMBS_abonnementen!$G$7:$N$156,8,FALSE)*$CS$12,"-")</f>
        <v>4684</v>
      </c>
      <c r="U155" s="209">
        <f t="shared" si="71"/>
        <v>2480.7999999999997</v>
      </c>
      <c r="V155" s="210">
        <f>IFERROR(VLOOKUP($B155,NMBS_abonnementen!$G$7:$R$156,12,FALSE)*$CS$13,"-")</f>
        <v>4061</v>
      </c>
      <c r="W155" s="209">
        <f t="shared" si="72"/>
        <v>1857.7999999999997</v>
      </c>
      <c r="X155" s="208">
        <f>IFERROR(VLOOKUP($B155,NMBS_abonnementen!$G$7:$K$156,5,FALSE)*$CS$18,"-")</f>
        <v>4860</v>
      </c>
      <c r="Y155" s="209">
        <f t="shared" si="73"/>
        <v>2656.7999999999997</v>
      </c>
      <c r="Z155" s="208">
        <f>IFERROR(VLOOKUP($B155,NMBS_abonnementen!$G$7:$O$156,9,FALSE)*$CS$19,"-")</f>
        <v>4480</v>
      </c>
      <c r="AA155" s="209">
        <f t="shared" si="74"/>
        <v>2276.7999999999997</v>
      </c>
      <c r="AB155" s="210">
        <f>IFERROR(VLOOKUP($B155,NMBS_abonnementen!$G$7:$S$156,13,FALSE),"-")</f>
        <v>3937</v>
      </c>
      <c r="AC155" s="198">
        <f t="shared" si="82"/>
        <v>720</v>
      </c>
      <c r="AD155" s="198">
        <f t="shared" si="75"/>
        <v>50.399999999999977</v>
      </c>
      <c r="AE155" s="198">
        <f t="shared" si="76"/>
        <v>484</v>
      </c>
      <c r="AF155" s="198">
        <f t="shared" si="77"/>
        <v>-236</v>
      </c>
      <c r="AH155" s="198">
        <f t="shared" si="78"/>
        <v>669.6</v>
      </c>
      <c r="AI155" s="198">
        <f t="shared" si="79"/>
        <v>185.60000000000002</v>
      </c>
      <c r="AJ155" s="198">
        <f t="shared" si="80"/>
        <v>669.6</v>
      </c>
      <c r="AK155" s="198">
        <f t="shared" si="81"/>
        <v>0</v>
      </c>
      <c r="AL155" s="179"/>
      <c r="AM155" s="175"/>
      <c r="AN155" s="175"/>
      <c r="AX155" s="181"/>
      <c r="AY155" s="181"/>
    </row>
    <row r="156" spans="2:51" ht="12" customHeight="1">
      <c r="B156" s="110">
        <v>146</v>
      </c>
      <c r="C156" s="102">
        <f>NMBS_flexabo!$C150*$AR$15</f>
        <v>3438</v>
      </c>
      <c r="D156" s="102">
        <f>NMBS_flexabo!$D150*$AR$22</f>
        <v>3047</v>
      </c>
      <c r="E156" s="102">
        <f>NMBS_flexabo!$E150*VLOOKUP($B$5,$AS$43:$AY$43,7,FALSE)</f>
        <v>3264.3</v>
      </c>
      <c r="F156" s="102">
        <f>NMBS_flexabo!$F150*VLOOKUP($B$5,$AS$45:$AY$48,7,FALSE)</f>
        <v>3198</v>
      </c>
      <c r="G156" s="104">
        <f>IFERROR(VLOOKUP($B156,NMBS_abonnementen!$G$7:$H$156,2,FALSE),"-")*VLOOKUP($B$5,NMBS_halftijds!$P$4:$Q$44,2)</f>
        <v>3226.7289600000004</v>
      </c>
      <c r="H156" s="104">
        <f>IFERROR(VLOOKUP($B156,NMBS_abonnementen!$G$7:$I$156,3,FALSE)*$BB$22,"-")</f>
        <v>4680</v>
      </c>
      <c r="I156" s="104">
        <f>IFERROR(VLOOKUP($B156,NMBS_abonnementen!$G$7:$M$156,7,FALSE)*$BB$23,"-")</f>
        <v>4368</v>
      </c>
      <c r="J156" s="104">
        <f>IFERROR(VLOOKUP($B156,NMBS_abonnementen!$G$7:$Q$156,11,FALSE),"-")</f>
        <v>3900</v>
      </c>
      <c r="K156" s="104">
        <f>VLOOKUP($B156,NMBS_ticketten!$G$6:$I$155,3,FALSE)*$B$5*$E$5</f>
        <v>5508</v>
      </c>
      <c r="L156" s="101" t="str">
        <f t="shared" si="65"/>
        <v/>
      </c>
      <c r="M156" s="101">
        <f t="shared" si="66"/>
        <v>2203.2000000000003</v>
      </c>
      <c r="N156" s="103">
        <f t="shared" si="67"/>
        <v>669.6</v>
      </c>
      <c r="O156" s="174"/>
      <c r="P156" s="269">
        <f t="shared" si="68"/>
        <v>2203.2000000000003</v>
      </c>
      <c r="Q156" s="271">
        <f t="shared" si="69"/>
        <v>2203.2000000000003</v>
      </c>
      <c r="R156" s="208">
        <f>IFERROR(VLOOKUP($B156,NMBS_abonnementen!$G$7:$J$156,4,FALSE)*$CS$11,"-")</f>
        <v>5220</v>
      </c>
      <c r="S156" s="209">
        <f t="shared" si="70"/>
        <v>3016.7999999999997</v>
      </c>
      <c r="T156" s="208">
        <f>IFERROR(VLOOKUP($B156,NMBS_abonnementen!$G$7:$N$156,8,FALSE)*$CS$12,"-")</f>
        <v>4840</v>
      </c>
      <c r="U156" s="209">
        <f t="shared" si="71"/>
        <v>2636.7999999999997</v>
      </c>
      <c r="V156" s="210">
        <f>IFERROR(VLOOKUP($B156,NMBS_abonnementen!$G$7:$R$156,12,FALSE)*$CS$13,"-")</f>
        <v>4199</v>
      </c>
      <c r="W156" s="209">
        <f t="shared" si="72"/>
        <v>1995.7999999999997</v>
      </c>
      <c r="X156" s="208">
        <f>IFERROR(VLOOKUP($B156,NMBS_abonnementen!$G$7:$K$156,5,FALSE)*$CS$18,"-")</f>
        <v>5028</v>
      </c>
      <c r="Y156" s="209">
        <f t="shared" si="73"/>
        <v>2824.7999999999997</v>
      </c>
      <c r="Z156" s="208">
        <f>IFERROR(VLOOKUP($B156,NMBS_abonnementen!$G$7:$O$156,9,FALSE)*$CS$19,"-")</f>
        <v>4636</v>
      </c>
      <c r="AA156" s="209">
        <f t="shared" si="74"/>
        <v>2432.7999999999997</v>
      </c>
      <c r="AB156" s="210">
        <f>IFERROR(VLOOKUP($B156,NMBS_abonnementen!$G$7:$S$156,13,FALSE),"-")</f>
        <v>4075</v>
      </c>
      <c r="AC156" s="198">
        <f t="shared" si="82"/>
        <v>720</v>
      </c>
      <c r="AD156" s="198">
        <f t="shared" si="75"/>
        <v>50.399999999999977</v>
      </c>
      <c r="AE156" s="198">
        <f t="shared" si="76"/>
        <v>484</v>
      </c>
      <c r="AF156" s="198">
        <f t="shared" si="77"/>
        <v>-236</v>
      </c>
      <c r="AH156" s="198">
        <f t="shared" si="78"/>
        <v>669.6</v>
      </c>
      <c r="AI156" s="198">
        <f t="shared" si="79"/>
        <v>185.60000000000002</v>
      </c>
      <c r="AJ156" s="198">
        <f t="shared" si="80"/>
        <v>669.6</v>
      </c>
      <c r="AK156" s="198">
        <f t="shared" si="81"/>
        <v>0</v>
      </c>
      <c r="AL156" s="179"/>
      <c r="AM156" s="175"/>
      <c r="AN156" s="175"/>
      <c r="AX156" s="181"/>
      <c r="AY156" s="181"/>
    </row>
    <row r="157" spans="2:51" ht="12" customHeight="1">
      <c r="B157" s="110">
        <v>147</v>
      </c>
      <c r="C157" s="102">
        <f>NMBS_flexabo!$C151*$AR$15</f>
        <v>3438</v>
      </c>
      <c r="D157" s="102">
        <f>NMBS_flexabo!$D151*$AR$22</f>
        <v>3047</v>
      </c>
      <c r="E157" s="102">
        <f>NMBS_flexabo!$E151*VLOOKUP($B$5,$AS$43:$AY$43,7,FALSE)</f>
        <v>3264.3</v>
      </c>
      <c r="F157" s="102">
        <f>NMBS_flexabo!$F151*VLOOKUP($B$5,$AS$45:$AY$48,7,FALSE)</f>
        <v>3198</v>
      </c>
      <c r="G157" s="104">
        <f>IFERROR(VLOOKUP($B157,NMBS_abonnementen!$G$7:$H$156,2,FALSE),"-")*VLOOKUP($B$5,NMBS_halftijds!$P$4:$Q$44,2)</f>
        <v>3226.7289600000004</v>
      </c>
      <c r="H157" s="104">
        <f>IFERROR(VLOOKUP($B157,NMBS_abonnementen!$G$7:$I$156,3,FALSE)*$BB$22,"-")</f>
        <v>4680</v>
      </c>
      <c r="I157" s="104">
        <f>IFERROR(VLOOKUP($B157,NMBS_abonnementen!$G$7:$M$156,7,FALSE)*$BB$23,"-")</f>
        <v>4368</v>
      </c>
      <c r="J157" s="104">
        <f>IFERROR(VLOOKUP($B157,NMBS_abonnementen!$G$7:$Q$156,11,FALSE),"-")</f>
        <v>3900</v>
      </c>
      <c r="K157" s="104">
        <f>VLOOKUP($B157,NMBS_ticketten!$G$6:$I$155,3,FALSE)*$B$5*$E$5</f>
        <v>5508</v>
      </c>
      <c r="L157" s="101" t="str">
        <f t="shared" si="65"/>
        <v/>
      </c>
      <c r="M157" s="101">
        <f t="shared" si="66"/>
        <v>2203.2000000000003</v>
      </c>
      <c r="N157" s="103">
        <f t="shared" si="67"/>
        <v>669.6</v>
      </c>
      <c r="O157" s="174"/>
      <c r="P157" s="269">
        <f t="shared" si="68"/>
        <v>2203.2000000000003</v>
      </c>
      <c r="Q157" s="271">
        <f t="shared" si="69"/>
        <v>2203.2000000000003</v>
      </c>
      <c r="R157" s="208">
        <f>IFERROR(VLOOKUP($B157,NMBS_abonnementen!$G$7:$J$156,4,FALSE)*$CS$11,"-")</f>
        <v>5220</v>
      </c>
      <c r="S157" s="209">
        <f t="shared" si="70"/>
        <v>3016.7999999999997</v>
      </c>
      <c r="T157" s="208">
        <f>IFERROR(VLOOKUP($B157,NMBS_abonnementen!$G$7:$N$156,8,FALSE)*$CS$12,"-")</f>
        <v>4840</v>
      </c>
      <c r="U157" s="209">
        <f t="shared" si="71"/>
        <v>2636.7999999999997</v>
      </c>
      <c r="V157" s="210">
        <f>IFERROR(VLOOKUP($B157,NMBS_abonnementen!$G$7:$R$156,12,FALSE)*$CS$13,"-")</f>
        <v>4199</v>
      </c>
      <c r="W157" s="209">
        <f t="shared" si="72"/>
        <v>1995.7999999999997</v>
      </c>
      <c r="X157" s="208">
        <f>IFERROR(VLOOKUP($B157,NMBS_abonnementen!$G$7:$K$156,5,FALSE)*$CS$18,"-")</f>
        <v>5028</v>
      </c>
      <c r="Y157" s="209">
        <f t="shared" si="73"/>
        <v>2824.7999999999997</v>
      </c>
      <c r="Z157" s="208">
        <f>IFERROR(VLOOKUP($B157,NMBS_abonnementen!$G$7:$O$156,9,FALSE)*$CS$19,"-")</f>
        <v>4636</v>
      </c>
      <c r="AA157" s="209">
        <f t="shared" si="74"/>
        <v>2432.7999999999997</v>
      </c>
      <c r="AB157" s="210">
        <f>IFERROR(VLOOKUP($B157,NMBS_abonnementen!$G$7:$S$156,13,FALSE),"-")</f>
        <v>4075</v>
      </c>
      <c r="AC157" s="198">
        <f t="shared" si="82"/>
        <v>720</v>
      </c>
      <c r="AD157" s="198">
        <f t="shared" si="75"/>
        <v>50.399999999999977</v>
      </c>
      <c r="AE157" s="198">
        <f t="shared" si="76"/>
        <v>484</v>
      </c>
      <c r="AF157" s="198">
        <f t="shared" si="77"/>
        <v>-236</v>
      </c>
      <c r="AH157" s="198">
        <f t="shared" si="78"/>
        <v>669.6</v>
      </c>
      <c r="AI157" s="198">
        <f t="shared" si="79"/>
        <v>185.60000000000002</v>
      </c>
      <c r="AJ157" s="198">
        <f t="shared" si="80"/>
        <v>669.6</v>
      </c>
      <c r="AK157" s="198">
        <f t="shared" si="81"/>
        <v>0</v>
      </c>
      <c r="AL157" s="179"/>
      <c r="AM157" s="175"/>
      <c r="AN157" s="175"/>
      <c r="AX157" s="181"/>
      <c r="AY157" s="181"/>
    </row>
    <row r="158" spans="2:51">
      <c r="B158" s="110">
        <v>148</v>
      </c>
      <c r="C158" s="102">
        <f>NMBS_flexabo!$C152*$AR$15</f>
        <v>3438</v>
      </c>
      <c r="D158" s="102">
        <f>NMBS_flexabo!$D152*$AR$22</f>
        <v>3047</v>
      </c>
      <c r="E158" s="102">
        <f>NMBS_flexabo!$E152*VLOOKUP($B$5,$AS$43:$AY$43,7,FALSE)</f>
        <v>3264.3</v>
      </c>
      <c r="F158" s="102">
        <f>NMBS_flexabo!$F152*VLOOKUP($B$5,$AS$45:$AY$48,7,FALSE)</f>
        <v>3198</v>
      </c>
      <c r="G158" s="104">
        <f>IFERROR(VLOOKUP($B158,NMBS_abonnementen!$G$7:$H$156,2,FALSE),"-")*VLOOKUP($B$5,NMBS_halftijds!$P$4:$Q$44,2)</f>
        <v>3226.7289600000004</v>
      </c>
      <c r="H158" s="104">
        <f>IFERROR(VLOOKUP($B158,NMBS_abonnementen!$G$7:$I$156,3,FALSE)*$BB$22,"-")</f>
        <v>4680</v>
      </c>
      <c r="I158" s="104">
        <f>IFERROR(VLOOKUP($B158,NMBS_abonnementen!$G$7:$M$156,7,FALSE)*$BB$23,"-")</f>
        <v>4368</v>
      </c>
      <c r="J158" s="104">
        <f>IFERROR(VLOOKUP($B158,NMBS_abonnementen!$G$7:$Q$156,11,FALSE),"-")</f>
        <v>3900</v>
      </c>
      <c r="K158" s="104">
        <f>VLOOKUP($B158,NMBS_ticketten!$G$6:$I$155,3,FALSE)*$B$5*$E$5</f>
        <v>5508</v>
      </c>
      <c r="L158" s="101" t="str">
        <f t="shared" si="65"/>
        <v/>
      </c>
      <c r="M158" s="101">
        <f t="shared" si="66"/>
        <v>2203.2000000000003</v>
      </c>
      <c r="N158" s="103">
        <f t="shared" si="67"/>
        <v>669.6</v>
      </c>
      <c r="O158" s="174"/>
      <c r="P158" s="269">
        <f t="shared" si="68"/>
        <v>2203.2000000000003</v>
      </c>
      <c r="Q158" s="271">
        <f t="shared" si="69"/>
        <v>2203.2000000000003</v>
      </c>
      <c r="R158" s="208">
        <f>IFERROR(VLOOKUP($B158,NMBS_abonnementen!$G$7:$J$156,4,FALSE)*$CS$11,"-")</f>
        <v>5220</v>
      </c>
      <c r="S158" s="209">
        <f t="shared" si="70"/>
        <v>3016.7999999999997</v>
      </c>
      <c r="T158" s="208">
        <f>IFERROR(VLOOKUP($B158,NMBS_abonnementen!$G$7:$N$156,8,FALSE)*$CS$12,"-")</f>
        <v>4840</v>
      </c>
      <c r="U158" s="209">
        <f t="shared" si="71"/>
        <v>2636.7999999999997</v>
      </c>
      <c r="V158" s="210">
        <f>IFERROR(VLOOKUP($B158,NMBS_abonnementen!$G$7:$R$156,12,FALSE)*$CS$13,"-")</f>
        <v>4199</v>
      </c>
      <c r="W158" s="209">
        <f t="shared" si="72"/>
        <v>1995.7999999999997</v>
      </c>
      <c r="X158" s="208">
        <f>IFERROR(VLOOKUP($B158,NMBS_abonnementen!$G$7:$K$156,5,FALSE)*$CS$18,"-")</f>
        <v>5028</v>
      </c>
      <c r="Y158" s="209">
        <f t="shared" si="73"/>
        <v>2824.7999999999997</v>
      </c>
      <c r="Z158" s="208">
        <f>IFERROR(VLOOKUP($B158,NMBS_abonnementen!$G$7:$O$156,9,FALSE)*$CS$19,"-")</f>
        <v>4636</v>
      </c>
      <c r="AA158" s="209">
        <f t="shared" si="74"/>
        <v>2432.7999999999997</v>
      </c>
      <c r="AB158" s="210">
        <f>IFERROR(VLOOKUP($B158,NMBS_abonnementen!$G$7:$S$156,13,FALSE),"-")</f>
        <v>4075</v>
      </c>
      <c r="AC158" s="198">
        <f t="shared" si="82"/>
        <v>720</v>
      </c>
      <c r="AD158" s="198">
        <f t="shared" si="75"/>
        <v>50.399999999999977</v>
      </c>
      <c r="AE158" s="198">
        <f t="shared" si="76"/>
        <v>484</v>
      </c>
      <c r="AF158" s="198">
        <f t="shared" si="77"/>
        <v>-236</v>
      </c>
      <c r="AH158" s="198">
        <f t="shared" si="78"/>
        <v>669.6</v>
      </c>
      <c r="AI158" s="198">
        <f t="shared" si="79"/>
        <v>185.60000000000002</v>
      </c>
      <c r="AJ158" s="198">
        <f t="shared" si="80"/>
        <v>669.6</v>
      </c>
      <c r="AK158" s="198">
        <f t="shared" si="81"/>
        <v>0</v>
      </c>
      <c r="AL158" s="179"/>
      <c r="AM158" s="175"/>
      <c r="AN158" s="175"/>
      <c r="AX158" s="181"/>
      <c r="AY158" s="181"/>
    </row>
    <row r="159" spans="2:51">
      <c r="B159" s="110">
        <v>149</v>
      </c>
      <c r="C159" s="102">
        <f>NMBS_flexabo!$C153*$AR$15</f>
        <v>3438</v>
      </c>
      <c r="D159" s="102">
        <f>NMBS_flexabo!$D153*$AR$22</f>
        <v>3047</v>
      </c>
      <c r="E159" s="102">
        <f>NMBS_flexabo!$E153*VLOOKUP($B$5,$AS$43:$AY$43,7,FALSE)</f>
        <v>3264.3</v>
      </c>
      <c r="F159" s="102">
        <f>NMBS_flexabo!$F153*VLOOKUP($B$5,$AS$45:$AY$48,7,FALSE)</f>
        <v>3198</v>
      </c>
      <c r="G159" s="104">
        <f>IFERROR(VLOOKUP($B159,NMBS_abonnementen!$G$7:$H$156,2,FALSE),"-")*VLOOKUP($B$5,NMBS_halftijds!$P$4:$Q$44,2)</f>
        <v>3226.7289600000004</v>
      </c>
      <c r="H159" s="104">
        <f>IFERROR(VLOOKUP($B159,NMBS_abonnementen!$G$7:$I$156,3,FALSE)*$BB$22,"-")</f>
        <v>4680</v>
      </c>
      <c r="I159" s="104">
        <f>IFERROR(VLOOKUP($B159,NMBS_abonnementen!$G$7:$M$156,7,FALSE)*$BB$23,"-")</f>
        <v>4368</v>
      </c>
      <c r="J159" s="104">
        <f>IFERROR(VLOOKUP($B159,NMBS_abonnementen!$G$7:$Q$156,11,FALSE),"-")</f>
        <v>3900</v>
      </c>
      <c r="K159" s="104">
        <f>VLOOKUP($B159,NMBS_ticketten!$G$6:$I$155,3,FALSE)*$B$5*$E$5</f>
        <v>5508</v>
      </c>
      <c r="L159" s="101" t="str">
        <f t="shared" si="65"/>
        <v/>
      </c>
      <c r="M159" s="101">
        <f t="shared" si="66"/>
        <v>2203.2000000000003</v>
      </c>
      <c r="N159" s="103">
        <f t="shared" si="67"/>
        <v>669.6</v>
      </c>
      <c r="O159" s="174"/>
      <c r="P159" s="269">
        <f t="shared" si="68"/>
        <v>2203.2000000000003</v>
      </c>
      <c r="Q159" s="271">
        <f t="shared" si="69"/>
        <v>2203.2000000000003</v>
      </c>
      <c r="R159" s="208">
        <f>IFERROR(VLOOKUP($B159,NMBS_abonnementen!$G$7:$J$156,4,FALSE)*$CS$11,"-")</f>
        <v>5220</v>
      </c>
      <c r="S159" s="209">
        <f t="shared" si="70"/>
        <v>3016.7999999999997</v>
      </c>
      <c r="T159" s="208">
        <f>IFERROR(VLOOKUP($B159,NMBS_abonnementen!$G$7:$N$156,8,FALSE)*$CS$12,"-")</f>
        <v>4840</v>
      </c>
      <c r="U159" s="209">
        <f t="shared" si="71"/>
        <v>2636.7999999999997</v>
      </c>
      <c r="V159" s="210">
        <f>IFERROR(VLOOKUP($B159,NMBS_abonnementen!$G$7:$R$156,12,FALSE)*$CS$13,"-")</f>
        <v>4199</v>
      </c>
      <c r="W159" s="209">
        <f t="shared" si="72"/>
        <v>1995.7999999999997</v>
      </c>
      <c r="X159" s="208">
        <f>IFERROR(VLOOKUP($B159,NMBS_abonnementen!$G$7:$K$156,5,FALSE)*$CS$18,"-")</f>
        <v>5028</v>
      </c>
      <c r="Y159" s="209">
        <f t="shared" si="73"/>
        <v>2824.7999999999997</v>
      </c>
      <c r="Z159" s="208">
        <f>IFERROR(VLOOKUP($B159,NMBS_abonnementen!$G$7:$O$156,9,FALSE)*$CS$19,"-")</f>
        <v>4636</v>
      </c>
      <c r="AA159" s="209">
        <f t="shared" si="74"/>
        <v>2432.7999999999997</v>
      </c>
      <c r="AB159" s="210">
        <f>IFERROR(VLOOKUP($B159,NMBS_abonnementen!$G$7:$S$156,13,FALSE),"-")</f>
        <v>4075</v>
      </c>
      <c r="AC159" s="198">
        <f t="shared" si="82"/>
        <v>720</v>
      </c>
      <c r="AD159" s="198">
        <f t="shared" si="75"/>
        <v>50.399999999999977</v>
      </c>
      <c r="AE159" s="198">
        <f t="shared" si="76"/>
        <v>484</v>
      </c>
      <c r="AF159" s="198">
        <f t="shared" si="77"/>
        <v>-236</v>
      </c>
      <c r="AH159" s="198">
        <f t="shared" si="78"/>
        <v>669.6</v>
      </c>
      <c r="AI159" s="198">
        <f t="shared" si="79"/>
        <v>185.60000000000002</v>
      </c>
      <c r="AJ159" s="198">
        <f t="shared" si="80"/>
        <v>669.6</v>
      </c>
      <c r="AK159" s="198">
        <f t="shared" si="81"/>
        <v>0</v>
      </c>
      <c r="AL159" s="179"/>
      <c r="AM159" s="175"/>
      <c r="AN159" s="175"/>
      <c r="AX159" s="181"/>
      <c r="AY159" s="181"/>
    </row>
    <row r="160" spans="2:51">
      <c r="B160" s="110">
        <v>150</v>
      </c>
      <c r="C160" s="102">
        <f>NMBS_flexabo!$C154*$AR$15</f>
        <v>3438</v>
      </c>
      <c r="D160" s="102">
        <f>NMBS_flexabo!$D154*$AR$22</f>
        <v>3047</v>
      </c>
      <c r="E160" s="102">
        <f>NMBS_flexabo!$E154*VLOOKUP($B$5,$AS$43:$AY$43,7,FALSE)</f>
        <v>3264.3</v>
      </c>
      <c r="F160" s="102">
        <f>NMBS_flexabo!$F154*VLOOKUP($B$5,$AS$45:$AY$48,7,FALSE)</f>
        <v>3198</v>
      </c>
      <c r="G160" s="104">
        <f>IFERROR(VLOOKUP($B160,NMBS_abonnementen!$G$7:$H$156,2,FALSE),"-")*VLOOKUP($B$5,NMBS_halftijds!$P$4:$Q$44,2)</f>
        <v>3226.7289600000004</v>
      </c>
      <c r="H160" s="104">
        <f>IFERROR(VLOOKUP($B160,NMBS_abonnementen!$G$7:$I$156,3,FALSE)*$BB$22,"-")</f>
        <v>4680</v>
      </c>
      <c r="I160" s="104">
        <f>IFERROR(VLOOKUP($B160,NMBS_abonnementen!$G$7:$M$156,7,FALSE)*$BB$23,"-")</f>
        <v>4368</v>
      </c>
      <c r="J160" s="104">
        <f>IFERROR(VLOOKUP($B160,NMBS_abonnementen!$G$7:$Q$156,11,FALSE),"-")</f>
        <v>3900</v>
      </c>
      <c r="K160" s="104">
        <f>VLOOKUP($B160,NMBS_ticketten!$G$6:$I$155,3,FALSE)*$B$5*$E$5</f>
        <v>5508</v>
      </c>
      <c r="L160" s="101" t="str">
        <f t="shared" si="65"/>
        <v/>
      </c>
      <c r="M160" s="101">
        <f t="shared" si="66"/>
        <v>2203.2000000000003</v>
      </c>
      <c r="N160" s="103">
        <f t="shared" si="67"/>
        <v>669.6</v>
      </c>
      <c r="O160" s="174"/>
      <c r="P160" s="269">
        <f t="shared" si="68"/>
        <v>2203.2000000000003</v>
      </c>
      <c r="Q160" s="271">
        <f t="shared" si="69"/>
        <v>2203.2000000000003</v>
      </c>
      <c r="R160" s="208">
        <f>IFERROR(VLOOKUP($B160,NMBS_abonnementen!$G$7:$J$156,4,FALSE)*$CS$11,"-")</f>
        <v>5220</v>
      </c>
      <c r="S160" s="209">
        <f t="shared" si="70"/>
        <v>3016.7999999999997</v>
      </c>
      <c r="T160" s="208">
        <f>IFERROR(VLOOKUP($B160,NMBS_abonnementen!$G$7:$N$156,8,FALSE)*$CS$12,"-")</f>
        <v>4840</v>
      </c>
      <c r="U160" s="209">
        <f t="shared" si="71"/>
        <v>2636.7999999999997</v>
      </c>
      <c r="V160" s="210">
        <f>IFERROR(VLOOKUP($B160,NMBS_abonnementen!$G$7:$R$156,12,FALSE)*$CS$13,"-")</f>
        <v>4199</v>
      </c>
      <c r="W160" s="209">
        <f t="shared" si="72"/>
        <v>1995.7999999999997</v>
      </c>
      <c r="X160" s="208">
        <f>IFERROR(VLOOKUP($B160,NMBS_abonnementen!$G$7:$K$156,5,FALSE)*$CS$18,"-")</f>
        <v>5028</v>
      </c>
      <c r="Y160" s="209">
        <f t="shared" si="73"/>
        <v>2824.7999999999997</v>
      </c>
      <c r="Z160" s="208">
        <f>IFERROR(VLOOKUP($B160,NMBS_abonnementen!$G$7:$O$156,9,FALSE)*$CS$19,"-")</f>
        <v>4636</v>
      </c>
      <c r="AA160" s="209">
        <f t="shared" si="74"/>
        <v>2432.7999999999997</v>
      </c>
      <c r="AB160" s="210">
        <f>IFERROR(VLOOKUP($B160,NMBS_abonnementen!$G$7:$S$156,13,FALSE),"-")</f>
        <v>4075</v>
      </c>
      <c r="AC160" s="198">
        <f t="shared" si="82"/>
        <v>720</v>
      </c>
      <c r="AD160" s="198">
        <f t="shared" si="75"/>
        <v>50.399999999999977</v>
      </c>
      <c r="AE160" s="198">
        <f t="shared" si="76"/>
        <v>484</v>
      </c>
      <c r="AF160" s="198">
        <f t="shared" si="77"/>
        <v>-236</v>
      </c>
      <c r="AH160" s="198">
        <f t="shared" si="78"/>
        <v>669.6</v>
      </c>
      <c r="AI160" s="198">
        <f t="shared" si="79"/>
        <v>185.60000000000002</v>
      </c>
      <c r="AJ160" s="198">
        <f t="shared" si="80"/>
        <v>669.6</v>
      </c>
      <c r="AK160" s="198">
        <f t="shared" si="81"/>
        <v>0</v>
      </c>
      <c r="AL160" s="179"/>
      <c r="AM160" s="175"/>
      <c r="AN160" s="175"/>
      <c r="AX160" s="181"/>
      <c r="AY160" s="181"/>
    </row>
  </sheetData>
  <sheetProtection algorithmName="SHA-512" hashValue="3NZtpXCTp7+LaS90KG954QahYVHwi0b0sL4y3mryiNynWz+auz7MPE6NVM7H7NB2etYJ6f5G1V7HGihYyy8cQg==" saltValue="EHLrUbo+k0KqI3k67FMxHA==" spinCount="100000" sheet="1" objects="1" scenarios="1"/>
  <mergeCells count="90">
    <mergeCell ref="BA43:BA44"/>
    <mergeCell ref="BB43:BB44"/>
    <mergeCell ref="BC43:BC44"/>
    <mergeCell ref="BD43:BD44"/>
    <mergeCell ref="BE43:BE44"/>
    <mergeCell ref="B3:I3"/>
    <mergeCell ref="B7:N7"/>
    <mergeCell ref="B1:N1"/>
    <mergeCell ref="J3:N3"/>
    <mergeCell ref="B4:C4"/>
    <mergeCell ref="B5:C5"/>
    <mergeCell ref="AT20:AT21"/>
    <mergeCell ref="AU20:AU21"/>
    <mergeCell ref="AV20:AV21"/>
    <mergeCell ref="AX20:AX21"/>
    <mergeCell ref="AX13:AX14"/>
    <mergeCell ref="CR15:CT17"/>
    <mergeCell ref="CL10:CP10"/>
    <mergeCell ref="CL19:CP19"/>
    <mergeCell ref="CR10:CT10"/>
    <mergeCell ref="BZ10:CD10"/>
    <mergeCell ref="BZ19:CD19"/>
    <mergeCell ref="CF10:CJ10"/>
    <mergeCell ref="CF19:CJ19"/>
    <mergeCell ref="BN46:BR46"/>
    <mergeCell ref="BT10:BX10"/>
    <mergeCell ref="BT19:BX19"/>
    <mergeCell ref="BT37:BX37"/>
    <mergeCell ref="BT46:BX46"/>
    <mergeCell ref="BN10:BR10"/>
    <mergeCell ref="BN19:BR19"/>
    <mergeCell ref="BN28:BR28"/>
    <mergeCell ref="BN37:BR37"/>
    <mergeCell ref="BA12:BE12"/>
    <mergeCell ref="BZ28:CD28"/>
    <mergeCell ref="BG21:BK21"/>
    <mergeCell ref="BA13:BE13"/>
    <mergeCell ref="CF28:CJ28"/>
    <mergeCell ref="BG11:BI11"/>
    <mergeCell ref="AY46:AY47"/>
    <mergeCell ref="AQ46:AR46"/>
    <mergeCell ref="AJ9:AK9"/>
    <mergeCell ref="AL9:AM9"/>
    <mergeCell ref="BA35:BE35"/>
    <mergeCell ref="AS40:AY40"/>
    <mergeCell ref="AS41:AS42"/>
    <mergeCell ref="AU41:AU42"/>
    <mergeCell ref="AV41:AV42"/>
    <mergeCell ref="AS45:AY45"/>
    <mergeCell ref="AS46:AS47"/>
    <mergeCell ref="AU46:AU47"/>
    <mergeCell ref="AV46:AV47"/>
    <mergeCell ref="AX46:AX47"/>
    <mergeCell ref="BG31:BK31"/>
    <mergeCell ref="BA41:BE41"/>
    <mergeCell ref="BG15:BI15"/>
    <mergeCell ref="AW13:AW14"/>
    <mergeCell ref="AP13:AP14"/>
    <mergeCell ref="AQ13:AQ14"/>
    <mergeCell ref="AR13:AR14"/>
    <mergeCell ref="AP20:AP21"/>
    <mergeCell ref="AQ20:AQ21"/>
    <mergeCell ref="AR20:AR21"/>
    <mergeCell ref="AY41:AY42"/>
    <mergeCell ref="AT13:AT14"/>
    <mergeCell ref="AU13:AU14"/>
    <mergeCell ref="BA26:BE26"/>
    <mergeCell ref="AX41:AX42"/>
    <mergeCell ref="AW20:AW21"/>
    <mergeCell ref="AV13:AV14"/>
    <mergeCell ref="AQ49:AR49"/>
    <mergeCell ref="K4:K5"/>
    <mergeCell ref="M4:N5"/>
    <mergeCell ref="T4:U4"/>
    <mergeCell ref="T5:U5"/>
    <mergeCell ref="AN13:AN14"/>
    <mergeCell ref="AO13:AO14"/>
    <mergeCell ref="AG9:AH9"/>
    <mergeCell ref="T6:AH6"/>
    <mergeCell ref="AJ6:AM6"/>
    <mergeCell ref="P10:Q10"/>
    <mergeCell ref="AE9:AF9"/>
    <mergeCell ref="AN20:AN21"/>
    <mergeCell ref="AO20:AO21"/>
    <mergeCell ref="L4:L5"/>
    <mergeCell ref="D9:J9"/>
    <mergeCell ref="K9:N9"/>
    <mergeCell ref="J4:J5"/>
    <mergeCell ref="AQ47:AR47"/>
    <mergeCell ref="AQ48:AR48"/>
  </mergeCells>
  <phoneticPr fontId="21" type="noConversion"/>
  <conditionalFormatting sqref="B11:B160">
    <cfRule type="cellIs" dxfId="16" priority="259" operator="equal">
      <formula>$Q11</formula>
    </cfRule>
  </conditionalFormatting>
  <conditionalFormatting sqref="C11:D160">
    <cfRule type="cellIs" dxfId="15" priority="260" operator="equal">
      <formula>#REF!</formula>
    </cfRule>
    <cfRule type="cellIs" dxfId="14" priority="261" operator="equal">
      <formula>$Q11</formula>
    </cfRule>
  </conditionalFormatting>
  <conditionalFormatting sqref="E11:N160 R11:AB160">
    <cfRule type="cellIs" dxfId="13" priority="255" operator="equal">
      <formula>$Q11</formula>
    </cfRule>
  </conditionalFormatting>
  <conditionalFormatting sqref="AC71:AD71 AF71">
    <cfRule type="cellIs" dxfId="12" priority="253" operator="equal">
      <formula>$P$11</formula>
    </cfRule>
  </conditionalFormatting>
  <conditionalFormatting sqref="AC11:AF160">
    <cfRule type="cellIs" dxfId="11" priority="252" operator="lessThanOrEqual">
      <formula>#REF!</formula>
    </cfRule>
  </conditionalFormatting>
  <dataValidations count="4">
    <dataValidation type="list" allowBlank="1" showInputMessage="1" showErrorMessage="1" errorTitle="Toegelaten waarde" error="Kies JA of NEE" promptTitle="Aanbod via app" prompt="De aankoop via de app is goedkoper" sqref="I5" xr:uid="{CA4DF40E-FA83-4206-A66A-00D66C73D745}">
      <formula1>$BB$46:$BB$47</formula1>
    </dataValidation>
    <dataValidation type="whole" allowBlank="1" showInputMessage="1" showErrorMessage="1" errorTitle="toegelaten waarde" error="De leeftijd moet tussen 1 en 125 liggen" promptTitle="toegelaten formule" prompt="Tot en met 25 jaar is deze formule beschikbaar" sqref="G5" xr:uid="{A3DF54AA-37BC-4D5B-96BC-BD6FDB2EF730}">
      <formula1>0</formula1>
      <formula2>125</formula2>
    </dataValidation>
    <dataValidation type="whole" allowBlank="1" showInputMessage="1" showErrorMessage="1" errorTitle="Toegelaten waarde" error="De waarde moet tussen 1 en 52 liggen, een decimaal wordt niet in aanmerking genomen." promptTitle="Toegelaten waarde" prompt="De waarde moet tussen 1 en 52 liggen, een decimaal wordt niet in aanmerking genomen." sqref="E5" xr:uid="{8B25BC17-4EA8-4840-9589-A49889714ADF}">
      <formula1>1</formula1>
      <formula2>52</formula2>
    </dataValidation>
    <dataValidation type="list" allowBlank="1" showInputMessage="1" showErrorMessage="1" errorTitle="Niet toegelaten invoer" error="De waarde moet tussen 1 en 5 liggen, maximaal 1 decimaal wordt toegelaten" promptTitle="Toegelaten waarde" prompt="De waarde moet tussen 1 en 5 liggen, maximaal 1 decimaal wordt in aanmerking genomen." sqref="B5:C5" xr:uid="{3DAB6E12-9667-47FB-AA2E-CA95E8299335}">
      <formula1>$BA$51:$BA$91</formula1>
    </dataValidation>
  </dataValidations>
  <hyperlinks>
    <hyperlink ref="K4" r:id="rId1" xr:uid="{0417AEB5-2C93-4F8A-8B85-5C08E1CA8E1A}"/>
    <hyperlink ref="L4" r:id="rId2" display="https://www.belgiantrain.be/nl/tickets-and-railcards/key-card?gclid=EAIaIQobChMIxfC1kfLh9QIVze3mCh25CQJSEAAYASAAEgJk-_D_BwE" xr:uid="{092587CE-41D0-4D3E-B9DD-1B36FEAB146C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C575B-2A9D-4A5A-8105-6DAEAF7F0C09}">
  <sheetPr codeName="Blad3"/>
  <dimension ref="A1:T398"/>
  <sheetViews>
    <sheetView workbookViewId="0">
      <selection activeCell="P10" sqref="P10:Q10"/>
    </sheetView>
  </sheetViews>
  <sheetFormatPr defaultRowHeight="15"/>
  <cols>
    <col min="7" max="7" width="25.7109375" bestFit="1" customWidth="1"/>
    <col min="8" max="13" width="8.85546875" style="5"/>
    <col min="16" max="16" width="8" style="3" customWidth="1"/>
    <col min="18" max="18" width="10" customWidth="1"/>
    <col min="19" max="19" width="16.140625" bestFit="1" customWidth="1"/>
  </cols>
  <sheetData>
    <row r="1" spans="1:20">
      <c r="G1" t="s">
        <v>85</v>
      </c>
      <c r="H1" s="5">
        <f t="shared" ref="H1:M1" si="0">SUM(H2:H6)</f>
        <v>52</v>
      </c>
      <c r="I1" s="5">
        <f t="shared" si="0"/>
        <v>104</v>
      </c>
      <c r="J1" s="5">
        <f t="shared" si="0"/>
        <v>127</v>
      </c>
      <c r="K1" s="5">
        <f t="shared" si="0"/>
        <v>156</v>
      </c>
      <c r="L1" s="5">
        <f t="shared" si="0"/>
        <v>208</v>
      </c>
      <c r="M1" s="5">
        <f t="shared" si="0"/>
        <v>260</v>
      </c>
      <c r="O1" s="335" t="s">
        <v>86</v>
      </c>
      <c r="Q1" s="335" t="s">
        <v>87</v>
      </c>
      <c r="R1" s="335" t="s">
        <v>88</v>
      </c>
    </row>
    <row r="2" spans="1:20">
      <c r="G2">
        <v>1</v>
      </c>
      <c r="H2" s="5">
        <f t="shared" ref="H2:M2" si="1">COUNTIF(H$14:H$378,1)</f>
        <v>18</v>
      </c>
      <c r="I2" s="5">
        <f t="shared" si="1"/>
        <v>21</v>
      </c>
      <c r="J2" s="5">
        <f t="shared" si="1"/>
        <v>26</v>
      </c>
      <c r="K2" s="5">
        <f t="shared" si="1"/>
        <v>32</v>
      </c>
      <c r="L2" s="5">
        <f t="shared" si="1"/>
        <v>42</v>
      </c>
      <c r="M2" s="5">
        <f t="shared" si="1"/>
        <v>52</v>
      </c>
      <c r="N2" s="86"/>
      <c r="O2" s="335"/>
      <c r="Q2" s="335"/>
      <c r="R2" s="335"/>
      <c r="S2" s="84"/>
      <c r="T2">
        <v>100</v>
      </c>
    </row>
    <row r="3" spans="1:20" ht="43.15" customHeight="1">
      <c r="G3">
        <v>2</v>
      </c>
      <c r="H3" s="5">
        <f t="shared" ref="H3:M3" si="2">COUNTIF(H$14:H$378,2)</f>
        <v>17</v>
      </c>
      <c r="I3" s="5">
        <f t="shared" si="2"/>
        <v>21</v>
      </c>
      <c r="J3" s="5">
        <f t="shared" si="2"/>
        <v>26</v>
      </c>
      <c r="K3" s="5">
        <f t="shared" si="2"/>
        <v>31</v>
      </c>
      <c r="L3" s="5">
        <f t="shared" si="2"/>
        <v>42</v>
      </c>
      <c r="M3" s="5">
        <f t="shared" si="2"/>
        <v>52</v>
      </c>
      <c r="N3" s="86"/>
      <c r="O3" s="335"/>
      <c r="Q3" s="335"/>
      <c r="R3" s="335"/>
    </row>
    <row r="4" spans="1:20">
      <c r="G4">
        <v>3</v>
      </c>
      <c r="H4" s="5">
        <f t="shared" ref="H4:M4" si="3">COUNTIF(H$14:H$378,3)</f>
        <v>17</v>
      </c>
      <c r="I4" s="5">
        <f t="shared" si="3"/>
        <v>21</v>
      </c>
      <c r="J4" s="5">
        <f t="shared" si="3"/>
        <v>25</v>
      </c>
      <c r="K4" s="5">
        <f t="shared" si="3"/>
        <v>31</v>
      </c>
      <c r="L4" s="5">
        <f t="shared" si="3"/>
        <v>42</v>
      </c>
      <c r="M4" s="5">
        <f t="shared" si="3"/>
        <v>52</v>
      </c>
      <c r="N4" s="86"/>
      <c r="O4" s="89">
        <v>1</v>
      </c>
      <c r="P4" s="96">
        <f>O4</f>
        <v>1</v>
      </c>
      <c r="Q4" s="90">
        <f>$H$7</f>
        <v>17.333333333333332</v>
      </c>
      <c r="R4" s="89">
        <f>Q4*$B$12</f>
        <v>15</v>
      </c>
      <c r="T4" s="87"/>
    </row>
    <row r="5" spans="1:20">
      <c r="D5">
        <f>J1/J12</f>
        <v>50.8</v>
      </c>
      <c r="E5">
        <f>D5/2</f>
        <v>25.4</v>
      </c>
      <c r="G5">
        <v>4</v>
      </c>
      <c r="H5" s="5">
        <f t="shared" ref="H5:M5" si="4">COUNTIF(H$14:H$378,4)</f>
        <v>0</v>
      </c>
      <c r="I5" s="5">
        <f t="shared" si="4"/>
        <v>21</v>
      </c>
      <c r="J5" s="5">
        <f t="shared" si="4"/>
        <v>25</v>
      </c>
      <c r="K5" s="5">
        <f t="shared" si="4"/>
        <v>31</v>
      </c>
      <c r="L5" s="5">
        <f t="shared" si="4"/>
        <v>41</v>
      </c>
      <c r="M5" s="5">
        <f t="shared" si="4"/>
        <v>52</v>
      </c>
      <c r="N5" s="86"/>
      <c r="O5" s="85">
        <v>0.1</v>
      </c>
      <c r="P5" s="88">
        <f>$O$4+O5</f>
        <v>1.1000000000000001</v>
      </c>
      <c r="Q5" s="87">
        <f t="shared" ref="Q5:Q13" si="5">$Q$4+($Q$4*S5)</f>
        <v>17.633777777777777</v>
      </c>
      <c r="R5" s="94">
        <f t="shared" ref="R5:R44" si="6">Q5*$B$12</f>
        <v>15.26</v>
      </c>
      <c r="S5" s="93">
        <f>$Q$4*$O5/$T$2*$O$4</f>
        <v>1.7333333333333333E-2</v>
      </c>
    </row>
    <row r="6" spans="1:20">
      <c r="G6">
        <v>5</v>
      </c>
      <c r="H6" s="5">
        <f t="shared" ref="H6:M6" si="7">COUNTIF(H$14:H$378,5)</f>
        <v>0</v>
      </c>
      <c r="I6" s="5">
        <f t="shared" si="7"/>
        <v>20</v>
      </c>
      <c r="J6" s="5">
        <f t="shared" si="7"/>
        <v>25</v>
      </c>
      <c r="K6" s="5">
        <f t="shared" si="7"/>
        <v>31</v>
      </c>
      <c r="L6" s="5">
        <f t="shared" si="7"/>
        <v>41</v>
      </c>
      <c r="M6" s="5">
        <f t="shared" si="7"/>
        <v>52</v>
      </c>
      <c r="N6" s="86"/>
      <c r="O6" s="85">
        <v>0.2</v>
      </c>
      <c r="P6" s="88">
        <f t="shared" ref="P6:P13" si="8">$O$4+O6</f>
        <v>1.2</v>
      </c>
      <c r="Q6" s="87">
        <f t="shared" si="5"/>
        <v>17.934222222222221</v>
      </c>
      <c r="R6" s="94">
        <f t="shared" si="6"/>
        <v>15.52</v>
      </c>
      <c r="S6" s="93">
        <f t="shared" ref="S6:S13" si="9">$Q$4*$O6/$T$2*$O$4</f>
        <v>3.4666666666666665E-2</v>
      </c>
    </row>
    <row r="7" spans="1:20">
      <c r="H7" s="71">
        <f>AVERAGE(H2:H4)</f>
        <v>17.333333333333332</v>
      </c>
      <c r="I7" s="71">
        <f>AVERAGE(I2:I6)</f>
        <v>20.8</v>
      </c>
      <c r="J7" s="71">
        <f>AVERAGE(J2:J6)</f>
        <v>25.4</v>
      </c>
      <c r="K7" s="71">
        <f>AVERAGE(K2:K6)</f>
        <v>31.2</v>
      </c>
      <c r="L7" s="71">
        <f>AVERAGE(L2:L6)</f>
        <v>41.6</v>
      </c>
      <c r="M7" s="71">
        <f>AVERAGE(M2:M6)</f>
        <v>52</v>
      </c>
      <c r="O7" s="85">
        <v>0.3</v>
      </c>
      <c r="P7" s="88">
        <f t="shared" si="8"/>
        <v>1.3</v>
      </c>
      <c r="Q7" s="87">
        <f t="shared" si="5"/>
        <v>18.234666666666666</v>
      </c>
      <c r="R7" s="94">
        <f t="shared" si="6"/>
        <v>15.78</v>
      </c>
      <c r="S7" s="93">
        <f t="shared" si="9"/>
        <v>5.1999999999999991E-2</v>
      </c>
    </row>
    <row r="8" spans="1:20">
      <c r="H8" s="86">
        <f t="shared" ref="H8:M8" si="10">H7*$B$12</f>
        <v>15</v>
      </c>
      <c r="I8" s="86">
        <f t="shared" si="10"/>
        <v>18</v>
      </c>
      <c r="J8" s="86">
        <f t="shared" si="10"/>
        <v>21.98076923076923</v>
      </c>
      <c r="K8" s="86">
        <f t="shared" si="10"/>
        <v>27</v>
      </c>
      <c r="L8" s="86">
        <f t="shared" si="10"/>
        <v>36</v>
      </c>
      <c r="M8" s="86">
        <f t="shared" si="10"/>
        <v>45</v>
      </c>
      <c r="O8" s="85">
        <v>0.4</v>
      </c>
      <c r="P8" s="88">
        <f t="shared" si="8"/>
        <v>1.4</v>
      </c>
      <c r="Q8" s="87">
        <f t="shared" si="5"/>
        <v>18.53511111111111</v>
      </c>
      <c r="R8" s="94">
        <f t="shared" si="6"/>
        <v>16.04</v>
      </c>
      <c r="S8" s="93">
        <f t="shared" si="9"/>
        <v>6.933333333333333E-2</v>
      </c>
    </row>
    <row r="9" spans="1:20">
      <c r="O9" s="85">
        <v>0.5</v>
      </c>
      <c r="P9" s="88">
        <f t="shared" si="8"/>
        <v>1.5</v>
      </c>
      <c r="Q9" s="87">
        <f t="shared" si="5"/>
        <v>18.835555555555555</v>
      </c>
      <c r="R9" s="94">
        <f t="shared" si="6"/>
        <v>16.3</v>
      </c>
      <c r="S9" s="93">
        <f t="shared" si="9"/>
        <v>8.6666666666666656E-2</v>
      </c>
    </row>
    <row r="10" spans="1:20">
      <c r="H10">
        <f t="shared" ref="H10:M10" si="11">COUNTA(H15:H378)</f>
        <v>52</v>
      </c>
      <c r="I10">
        <f t="shared" si="11"/>
        <v>104</v>
      </c>
      <c r="J10">
        <f t="shared" si="11"/>
        <v>127</v>
      </c>
      <c r="K10">
        <f t="shared" si="11"/>
        <v>156</v>
      </c>
      <c r="L10">
        <f t="shared" si="11"/>
        <v>208</v>
      </c>
      <c r="M10">
        <f t="shared" si="11"/>
        <v>260</v>
      </c>
      <c r="O10" s="85">
        <v>0.6</v>
      </c>
      <c r="P10" s="88">
        <f t="shared" si="8"/>
        <v>1.6</v>
      </c>
      <c r="Q10" s="87">
        <f t="shared" si="5"/>
        <v>19.135999999999999</v>
      </c>
      <c r="R10" s="94">
        <f t="shared" si="6"/>
        <v>16.559999999999999</v>
      </c>
      <c r="S10" s="93">
        <f t="shared" si="9"/>
        <v>0.10399999999999998</v>
      </c>
    </row>
    <row r="11" spans="1:20">
      <c r="G11" t="s">
        <v>87</v>
      </c>
      <c r="H11" s="71">
        <f t="shared" ref="H11:M11" si="12">COUNTIF(H15:H378,1)-1+H379</f>
        <v>17.333333333333332</v>
      </c>
      <c r="I11" s="71">
        <f t="shared" si="12"/>
        <v>20.8</v>
      </c>
      <c r="J11" s="71">
        <f t="shared" si="12"/>
        <v>25.4</v>
      </c>
      <c r="K11" s="71">
        <f t="shared" si="12"/>
        <v>31.2</v>
      </c>
      <c r="L11" s="71">
        <f t="shared" si="12"/>
        <v>41.6</v>
      </c>
      <c r="M11" s="71">
        <f t="shared" si="12"/>
        <v>52</v>
      </c>
      <c r="O11" s="85">
        <v>0.7</v>
      </c>
      <c r="P11" s="88">
        <f t="shared" si="8"/>
        <v>1.7</v>
      </c>
      <c r="Q11" s="87">
        <f t="shared" si="5"/>
        <v>19.436444444444444</v>
      </c>
      <c r="R11" s="94">
        <f t="shared" si="6"/>
        <v>16.82</v>
      </c>
      <c r="S11" s="93">
        <f t="shared" si="9"/>
        <v>0.12133333333333331</v>
      </c>
    </row>
    <row r="12" spans="1:20">
      <c r="B12">
        <f>A14/B14</f>
        <v>0.86538461538461542</v>
      </c>
      <c r="G12" s="11" t="s">
        <v>50</v>
      </c>
      <c r="H12" s="12">
        <v>1</v>
      </c>
      <c r="I12" s="12">
        <v>2</v>
      </c>
      <c r="J12" s="12">
        <v>2.5</v>
      </c>
      <c r="K12" s="12">
        <v>3</v>
      </c>
      <c r="L12" s="12">
        <v>4</v>
      </c>
      <c r="M12" s="12">
        <v>5</v>
      </c>
      <c r="O12" s="85">
        <v>0.8</v>
      </c>
      <c r="P12" s="88">
        <f t="shared" si="8"/>
        <v>1.8</v>
      </c>
      <c r="Q12" s="87">
        <f t="shared" si="5"/>
        <v>19.736888888888888</v>
      </c>
      <c r="R12" s="94">
        <f t="shared" si="6"/>
        <v>17.080000000000002</v>
      </c>
      <c r="S12" s="93">
        <f t="shared" si="9"/>
        <v>0.13866666666666666</v>
      </c>
    </row>
    <row r="13" spans="1:20">
      <c r="H13" s="83">
        <f t="shared" ref="H13:M13" si="13">ROUNDUP(H11,0)</f>
        <v>18</v>
      </c>
      <c r="I13" s="83">
        <f t="shared" si="13"/>
        <v>21</v>
      </c>
      <c r="J13" s="83">
        <f t="shared" si="13"/>
        <v>26</v>
      </c>
      <c r="K13" s="83">
        <f t="shared" si="13"/>
        <v>32</v>
      </c>
      <c r="L13" s="83">
        <f t="shared" si="13"/>
        <v>42</v>
      </c>
      <c r="M13" s="83">
        <f t="shared" si="13"/>
        <v>52</v>
      </c>
      <c r="O13" s="85">
        <v>0.9</v>
      </c>
      <c r="P13" s="88">
        <f t="shared" si="8"/>
        <v>1.9</v>
      </c>
      <c r="Q13" s="87">
        <f t="shared" si="5"/>
        <v>20.037333333333333</v>
      </c>
      <c r="R13" s="94">
        <f t="shared" si="6"/>
        <v>17.34</v>
      </c>
      <c r="S13" s="93">
        <f t="shared" si="9"/>
        <v>0.156</v>
      </c>
    </row>
    <row r="14" spans="1:20">
      <c r="A14">
        <v>45</v>
      </c>
      <c r="B14">
        <v>52</v>
      </c>
      <c r="G14" s="14">
        <v>44136</v>
      </c>
      <c r="H14" s="35"/>
      <c r="I14" s="36"/>
      <c r="J14" s="36"/>
      <c r="K14" s="35"/>
      <c r="L14" s="35"/>
      <c r="M14" s="16"/>
      <c r="O14" s="91">
        <v>2</v>
      </c>
      <c r="P14" s="96">
        <f>O14</f>
        <v>2</v>
      </c>
      <c r="Q14" s="92">
        <f>$I$7</f>
        <v>20.8</v>
      </c>
      <c r="R14" s="91">
        <f t="shared" si="6"/>
        <v>18</v>
      </c>
      <c r="S14" s="93"/>
      <c r="T14" s="87"/>
    </row>
    <row r="15" spans="1:20">
      <c r="F15">
        <v>1</v>
      </c>
      <c r="G15" s="13">
        <v>44137</v>
      </c>
      <c r="H15" s="17">
        <v>1</v>
      </c>
      <c r="I15" s="20">
        <v>1</v>
      </c>
      <c r="J15" s="20">
        <v>1</v>
      </c>
      <c r="K15" s="17">
        <v>1</v>
      </c>
      <c r="L15" s="17">
        <v>1</v>
      </c>
      <c r="M15" s="17">
        <v>1</v>
      </c>
      <c r="O15" s="94">
        <v>0.1</v>
      </c>
      <c r="P15" s="88">
        <f>$O$14+O15</f>
        <v>2.1</v>
      </c>
      <c r="Q15" s="72">
        <f>$Q$14+($Q$14*S15)</f>
        <v>21.665279999999999</v>
      </c>
      <c r="R15" s="94">
        <f t="shared" si="6"/>
        <v>18.748799999999999</v>
      </c>
      <c r="S15" s="95">
        <f>$Q$14*$O15/$T$2*$O$14</f>
        <v>4.1599999999999998E-2</v>
      </c>
    </row>
    <row r="16" spans="1:20">
      <c r="F16">
        <v>2</v>
      </c>
      <c r="G16" s="13">
        <v>44138</v>
      </c>
      <c r="H16" s="18"/>
      <c r="I16" s="21">
        <v>2</v>
      </c>
      <c r="J16" s="21">
        <v>2</v>
      </c>
      <c r="K16" s="18">
        <v>2</v>
      </c>
      <c r="L16" s="18">
        <v>2</v>
      </c>
      <c r="M16" s="18">
        <v>2</v>
      </c>
      <c r="O16" s="94">
        <v>0.2</v>
      </c>
      <c r="P16" s="88">
        <f t="shared" ref="P16:P23" si="14">$O$14+O16</f>
        <v>2.2000000000000002</v>
      </c>
      <c r="Q16" s="72">
        <f t="shared" ref="Q16:Q23" si="15">$Q$14+($Q$14*S16)</f>
        <v>22.530560000000001</v>
      </c>
      <c r="R16" s="94">
        <f t="shared" si="6"/>
        <v>19.497600000000002</v>
      </c>
      <c r="S16" s="95">
        <f t="shared" ref="S16:S23" si="16">$Q$14*$O16/$T$2*$O$14</f>
        <v>8.3199999999999996E-2</v>
      </c>
    </row>
    <row r="17" spans="6:20">
      <c r="F17">
        <v>3</v>
      </c>
      <c r="G17" s="13">
        <v>44139</v>
      </c>
      <c r="H17" s="18"/>
      <c r="I17" s="21"/>
      <c r="J17" s="21"/>
      <c r="K17" s="18">
        <v>3</v>
      </c>
      <c r="L17" s="18">
        <v>3</v>
      </c>
      <c r="M17" s="18">
        <v>3</v>
      </c>
      <c r="O17" s="94">
        <v>0.3</v>
      </c>
      <c r="P17" s="88">
        <f t="shared" si="14"/>
        <v>2.2999999999999998</v>
      </c>
      <c r="Q17" s="72">
        <f t="shared" si="15"/>
        <v>23.39584</v>
      </c>
      <c r="R17" s="94">
        <f t="shared" si="6"/>
        <v>20.246400000000001</v>
      </c>
      <c r="S17" s="95">
        <f t="shared" si="16"/>
        <v>0.12480000000000001</v>
      </c>
    </row>
    <row r="18" spans="6:20">
      <c r="F18">
        <v>4</v>
      </c>
      <c r="G18" s="13">
        <v>44140</v>
      </c>
      <c r="H18" s="18"/>
      <c r="I18" s="21"/>
      <c r="J18" s="21"/>
      <c r="K18" s="18"/>
      <c r="L18" s="18">
        <v>4</v>
      </c>
      <c r="M18" s="18">
        <v>4</v>
      </c>
      <c r="O18" s="94">
        <v>0.4</v>
      </c>
      <c r="P18" s="88">
        <f t="shared" si="14"/>
        <v>2.4</v>
      </c>
      <c r="Q18" s="72">
        <f t="shared" si="15"/>
        <v>24.261120000000002</v>
      </c>
      <c r="R18" s="94">
        <f t="shared" si="6"/>
        <v>20.995200000000004</v>
      </c>
      <c r="S18" s="95">
        <f t="shared" si="16"/>
        <v>0.16639999999999999</v>
      </c>
      <c r="T18" s="87"/>
    </row>
    <row r="19" spans="6:20">
      <c r="F19">
        <v>5</v>
      </c>
      <c r="G19" s="13">
        <v>44141</v>
      </c>
      <c r="H19" s="18"/>
      <c r="I19" s="21"/>
      <c r="J19" s="21"/>
      <c r="K19" s="18"/>
      <c r="L19" s="18"/>
      <c r="M19" s="19">
        <v>5</v>
      </c>
      <c r="O19" s="94">
        <v>0.5</v>
      </c>
      <c r="P19" s="88">
        <f t="shared" si="14"/>
        <v>2.5</v>
      </c>
      <c r="Q19" s="72">
        <f t="shared" si="15"/>
        <v>25.1264</v>
      </c>
      <c r="R19" s="94">
        <f t="shared" si="6"/>
        <v>21.744</v>
      </c>
      <c r="S19" s="95">
        <f t="shared" si="16"/>
        <v>0.20800000000000002</v>
      </c>
    </row>
    <row r="20" spans="6:20">
      <c r="F20">
        <v>6</v>
      </c>
      <c r="G20" s="14">
        <v>44142</v>
      </c>
      <c r="H20" s="35"/>
      <c r="I20" s="36"/>
      <c r="J20" s="36"/>
      <c r="K20" s="35"/>
      <c r="L20" s="35"/>
      <c r="M20" s="16"/>
      <c r="O20" s="94">
        <v>0.6</v>
      </c>
      <c r="P20" s="88">
        <f t="shared" si="14"/>
        <v>2.6</v>
      </c>
      <c r="Q20" s="72">
        <f t="shared" si="15"/>
        <v>25.991680000000002</v>
      </c>
      <c r="R20" s="94">
        <f t="shared" si="6"/>
        <v>22.492800000000003</v>
      </c>
      <c r="S20" s="95">
        <f t="shared" si="16"/>
        <v>0.24960000000000002</v>
      </c>
    </row>
    <row r="21" spans="6:20">
      <c r="F21">
        <v>7</v>
      </c>
      <c r="G21" s="14">
        <v>44143</v>
      </c>
      <c r="H21" s="35"/>
      <c r="I21" s="36"/>
      <c r="J21" s="36"/>
      <c r="K21" s="35"/>
      <c r="L21" s="35"/>
      <c r="M21" s="16"/>
      <c r="O21" s="94">
        <v>0.7</v>
      </c>
      <c r="P21" s="88">
        <f t="shared" si="14"/>
        <v>2.7</v>
      </c>
      <c r="Q21" s="72">
        <f t="shared" si="15"/>
        <v>26.856960000000001</v>
      </c>
      <c r="R21" s="94">
        <f t="shared" si="6"/>
        <v>23.241600000000002</v>
      </c>
      <c r="S21" s="95">
        <f t="shared" si="16"/>
        <v>0.29119999999999996</v>
      </c>
    </row>
    <row r="22" spans="6:20">
      <c r="F22">
        <v>8</v>
      </c>
      <c r="G22" s="13">
        <v>44144</v>
      </c>
      <c r="H22" s="18">
        <v>2</v>
      </c>
      <c r="I22" s="21">
        <v>3</v>
      </c>
      <c r="J22" s="21">
        <v>3</v>
      </c>
      <c r="K22" s="18">
        <v>4</v>
      </c>
      <c r="L22" s="21">
        <v>5</v>
      </c>
      <c r="M22" s="23">
        <v>1</v>
      </c>
      <c r="O22" s="94">
        <v>0.8</v>
      </c>
      <c r="P22" s="88">
        <f t="shared" si="14"/>
        <v>2.8</v>
      </c>
      <c r="Q22" s="72">
        <f t="shared" si="15"/>
        <v>27.722239999999999</v>
      </c>
      <c r="R22" s="94">
        <f t="shared" si="6"/>
        <v>23.990400000000001</v>
      </c>
      <c r="S22" s="95">
        <f t="shared" si="16"/>
        <v>0.33279999999999998</v>
      </c>
    </row>
    <row r="23" spans="6:20">
      <c r="F23">
        <v>9</v>
      </c>
      <c r="G23" s="13">
        <v>44145</v>
      </c>
      <c r="H23" s="18"/>
      <c r="I23" s="21">
        <v>4</v>
      </c>
      <c r="J23" s="21">
        <v>4</v>
      </c>
      <c r="K23" s="21">
        <v>5</v>
      </c>
      <c r="L23" s="23">
        <v>1</v>
      </c>
      <c r="M23" s="24">
        <v>2</v>
      </c>
      <c r="O23" s="94">
        <v>0.9</v>
      </c>
      <c r="P23" s="88">
        <f t="shared" si="14"/>
        <v>2.9</v>
      </c>
      <c r="Q23" s="72">
        <f t="shared" si="15"/>
        <v>28.587520000000001</v>
      </c>
      <c r="R23" s="94">
        <f t="shared" si="6"/>
        <v>24.739200000000004</v>
      </c>
      <c r="S23" s="95">
        <f t="shared" si="16"/>
        <v>0.37440000000000007</v>
      </c>
    </row>
    <row r="24" spans="6:20">
      <c r="F24">
        <v>10</v>
      </c>
      <c r="G24" s="13">
        <v>44146</v>
      </c>
      <c r="H24" s="18"/>
      <c r="I24" s="21"/>
      <c r="J24" s="21">
        <v>5</v>
      </c>
      <c r="K24" s="23">
        <v>1</v>
      </c>
      <c r="L24" s="24">
        <v>2</v>
      </c>
      <c r="M24" s="24">
        <v>3</v>
      </c>
      <c r="O24" s="91">
        <v>3</v>
      </c>
      <c r="P24" s="96">
        <f>O24</f>
        <v>3</v>
      </c>
      <c r="Q24" s="92">
        <f>$K$7</f>
        <v>31.2</v>
      </c>
      <c r="R24" s="91">
        <f t="shared" si="6"/>
        <v>27</v>
      </c>
      <c r="S24" s="93"/>
    </row>
    <row r="25" spans="6:20">
      <c r="F25">
        <v>11</v>
      </c>
      <c r="G25" s="13">
        <v>44147</v>
      </c>
      <c r="H25" s="18"/>
      <c r="I25" s="21"/>
      <c r="J25" s="21"/>
      <c r="K25" s="24"/>
      <c r="L25" s="24">
        <v>3</v>
      </c>
      <c r="M25" s="24">
        <v>4</v>
      </c>
      <c r="O25" s="85">
        <v>0.1</v>
      </c>
      <c r="P25" s="88">
        <f>$O$24+O25</f>
        <v>3.1</v>
      </c>
      <c r="Q25" s="72">
        <f>$Q$24+($Q$24*S25)</f>
        <v>32.173439999999999</v>
      </c>
      <c r="R25" s="94">
        <f>Q23*$B$12</f>
        <v>24.739200000000004</v>
      </c>
      <c r="S25" s="95">
        <f>$Q$24*$O25/$T$2</f>
        <v>3.1200000000000002E-2</v>
      </c>
    </row>
    <row r="26" spans="6:20">
      <c r="F26">
        <v>12</v>
      </c>
      <c r="G26" s="13">
        <v>44148</v>
      </c>
      <c r="H26" s="18"/>
      <c r="I26" s="21"/>
      <c r="J26" s="21"/>
      <c r="K26" s="24"/>
      <c r="L26" s="24"/>
      <c r="M26" s="25">
        <v>5</v>
      </c>
      <c r="O26" s="85">
        <v>0.2</v>
      </c>
      <c r="P26" s="88">
        <f t="shared" ref="P26:P33" si="17">$O$24+O26</f>
        <v>3.2</v>
      </c>
      <c r="Q26" s="72">
        <f t="shared" ref="Q26:Q33" si="18">$Q$24+($Q$24*S26)</f>
        <v>33.146879999999996</v>
      </c>
      <c r="R26" s="94">
        <f t="shared" ref="R26:R33" si="19">Q24*$B$12</f>
        <v>27</v>
      </c>
      <c r="S26" s="95">
        <f t="shared" ref="S26:S33" si="20">$Q$24*$O26/$T$2</f>
        <v>6.2400000000000004E-2</v>
      </c>
    </row>
    <row r="27" spans="6:20">
      <c r="F27">
        <v>13</v>
      </c>
      <c r="G27" s="14">
        <v>44149</v>
      </c>
      <c r="H27" s="35"/>
      <c r="I27" s="36"/>
      <c r="J27" s="36"/>
      <c r="K27" s="35"/>
      <c r="L27" s="35"/>
      <c r="M27" s="16"/>
      <c r="O27" s="85">
        <v>0.3</v>
      </c>
      <c r="P27" s="88">
        <f t="shared" si="17"/>
        <v>3.3</v>
      </c>
      <c r="Q27" s="72">
        <f t="shared" si="18"/>
        <v>34.12032</v>
      </c>
      <c r="R27" s="94">
        <f t="shared" si="19"/>
        <v>27.842400000000001</v>
      </c>
      <c r="S27" s="95">
        <f t="shared" si="20"/>
        <v>9.3599999999999989E-2</v>
      </c>
    </row>
    <row r="28" spans="6:20">
      <c r="F28">
        <v>14</v>
      </c>
      <c r="G28" s="14">
        <v>44150</v>
      </c>
      <c r="H28" s="35"/>
      <c r="I28" s="36"/>
      <c r="J28" s="36"/>
      <c r="K28" s="35"/>
      <c r="L28" s="35"/>
      <c r="M28" s="16"/>
      <c r="O28" s="85">
        <v>0.4</v>
      </c>
      <c r="P28" s="88">
        <f t="shared" si="17"/>
        <v>3.4</v>
      </c>
      <c r="Q28" s="72">
        <f t="shared" si="18"/>
        <v>35.093760000000003</v>
      </c>
      <c r="R28" s="94">
        <f t="shared" si="19"/>
        <v>28.684799999999999</v>
      </c>
      <c r="S28" s="95">
        <f t="shared" si="20"/>
        <v>0.12480000000000001</v>
      </c>
    </row>
    <row r="29" spans="6:20">
      <c r="F29">
        <v>15</v>
      </c>
      <c r="G29" s="13">
        <v>44151</v>
      </c>
      <c r="H29" s="19">
        <v>3</v>
      </c>
      <c r="I29" s="22">
        <v>5</v>
      </c>
      <c r="J29" s="21">
        <v>1</v>
      </c>
      <c r="K29" s="24">
        <v>2</v>
      </c>
      <c r="L29" s="24">
        <v>4</v>
      </c>
      <c r="M29" s="26">
        <v>1</v>
      </c>
      <c r="O29" s="85">
        <v>0.5</v>
      </c>
      <c r="P29" s="88">
        <f t="shared" si="17"/>
        <v>3.5</v>
      </c>
      <c r="Q29" s="72">
        <f t="shared" si="18"/>
        <v>36.0672</v>
      </c>
      <c r="R29" s="94">
        <f t="shared" si="19"/>
        <v>29.527200000000001</v>
      </c>
      <c r="S29" s="95">
        <f t="shared" si="20"/>
        <v>0.156</v>
      </c>
    </row>
    <row r="30" spans="6:20">
      <c r="G30" s="13">
        <v>44152</v>
      </c>
      <c r="H30"/>
      <c r="I30" s="23">
        <v>1</v>
      </c>
      <c r="J30" s="24">
        <v>2</v>
      </c>
      <c r="K30" s="24">
        <v>3</v>
      </c>
      <c r="L30" s="25">
        <v>5</v>
      </c>
      <c r="M30" s="27">
        <v>2</v>
      </c>
      <c r="O30" s="85">
        <v>0.6</v>
      </c>
      <c r="P30" s="88">
        <f t="shared" si="17"/>
        <v>3.6</v>
      </c>
      <c r="Q30" s="72">
        <f t="shared" si="18"/>
        <v>37.040639999999996</v>
      </c>
      <c r="R30" s="94">
        <f t="shared" si="19"/>
        <v>30.369600000000005</v>
      </c>
      <c r="S30" s="95">
        <f t="shared" si="20"/>
        <v>0.18719999999999998</v>
      </c>
    </row>
    <row r="31" spans="6:20">
      <c r="G31" s="13">
        <v>44153</v>
      </c>
      <c r="H31"/>
      <c r="I31" s="24"/>
      <c r="J31" s="24"/>
      <c r="K31" s="24">
        <v>4</v>
      </c>
      <c r="L31" s="26">
        <v>1</v>
      </c>
      <c r="M31" s="27">
        <v>3</v>
      </c>
      <c r="O31" s="85">
        <v>0.7</v>
      </c>
      <c r="P31" s="88">
        <f t="shared" si="17"/>
        <v>3.7</v>
      </c>
      <c r="Q31" s="72">
        <f t="shared" si="18"/>
        <v>38.01408</v>
      </c>
      <c r="R31" s="94">
        <f t="shared" si="19"/>
        <v>31.212</v>
      </c>
      <c r="S31" s="95">
        <f t="shared" si="20"/>
        <v>0.21840000000000001</v>
      </c>
    </row>
    <row r="32" spans="6:20">
      <c r="G32" s="13">
        <v>44154</v>
      </c>
      <c r="H32"/>
      <c r="I32" s="24"/>
      <c r="J32" s="24"/>
      <c r="K32" s="24"/>
      <c r="L32" s="27">
        <v>2</v>
      </c>
      <c r="M32" s="27">
        <v>4</v>
      </c>
      <c r="O32" s="85">
        <v>0.8</v>
      </c>
      <c r="P32" s="88">
        <f t="shared" si="17"/>
        <v>3.8</v>
      </c>
      <c r="Q32" s="72">
        <f t="shared" si="18"/>
        <v>38.987520000000004</v>
      </c>
      <c r="R32" s="94">
        <f t="shared" si="19"/>
        <v>32.054400000000001</v>
      </c>
      <c r="S32" s="95">
        <f t="shared" si="20"/>
        <v>0.24960000000000002</v>
      </c>
    </row>
    <row r="33" spans="7:20">
      <c r="G33" s="13">
        <v>44155</v>
      </c>
      <c r="H33"/>
      <c r="I33" s="24"/>
      <c r="J33" s="24"/>
      <c r="K33" s="24"/>
      <c r="L33" s="27"/>
      <c r="M33" s="28">
        <v>5</v>
      </c>
      <c r="O33" s="85">
        <v>0.9</v>
      </c>
      <c r="P33" s="88">
        <f t="shared" si="17"/>
        <v>3.9</v>
      </c>
      <c r="Q33" s="72">
        <f t="shared" si="18"/>
        <v>39.96096</v>
      </c>
      <c r="R33" s="94">
        <f t="shared" si="19"/>
        <v>32.896799999999999</v>
      </c>
      <c r="S33" s="95">
        <f t="shared" si="20"/>
        <v>0.28079999999999999</v>
      </c>
    </row>
    <row r="34" spans="7:20">
      <c r="G34" s="14">
        <v>44156</v>
      </c>
      <c r="H34" s="37"/>
      <c r="I34" s="35"/>
      <c r="J34" s="35"/>
      <c r="K34" s="35"/>
      <c r="L34" s="35"/>
      <c r="M34" s="16"/>
      <c r="O34" s="91">
        <v>4</v>
      </c>
      <c r="P34" s="96">
        <f>O34</f>
        <v>4</v>
      </c>
      <c r="Q34" s="92">
        <f>$L$7</f>
        <v>41.6</v>
      </c>
      <c r="R34" s="91">
        <f t="shared" si="6"/>
        <v>36</v>
      </c>
      <c r="S34" s="93"/>
    </row>
    <row r="35" spans="7:20">
      <c r="G35" s="14">
        <v>44157</v>
      </c>
      <c r="H35" s="37"/>
      <c r="I35" s="35"/>
      <c r="J35" s="35"/>
      <c r="K35" s="35"/>
      <c r="L35" s="35"/>
      <c r="M35" s="16"/>
      <c r="O35" s="85">
        <v>0.1</v>
      </c>
      <c r="P35" s="88">
        <f>$O$34+O35</f>
        <v>4.0999999999999996</v>
      </c>
      <c r="Q35" s="72">
        <f>$Q$34+($Q$34*S35)</f>
        <v>42.46528</v>
      </c>
      <c r="R35" s="85">
        <f t="shared" si="6"/>
        <v>36.748800000000003</v>
      </c>
      <c r="S35" s="93">
        <f>$Q$34*$O35/$T$2/2</f>
        <v>2.0799999999999999E-2</v>
      </c>
      <c r="T35" s="87"/>
    </row>
    <row r="36" spans="7:20">
      <c r="G36" s="13">
        <v>44158</v>
      </c>
      <c r="H36" s="17">
        <v>1</v>
      </c>
      <c r="I36" s="24">
        <v>2</v>
      </c>
      <c r="J36" s="24">
        <v>3</v>
      </c>
      <c r="K36" s="25">
        <v>5</v>
      </c>
      <c r="L36" s="27">
        <v>3</v>
      </c>
      <c r="M36" s="29">
        <v>1</v>
      </c>
      <c r="O36" s="85">
        <v>0.2</v>
      </c>
      <c r="P36" s="88">
        <f t="shared" ref="P36:P43" si="21">$O$34+O36</f>
        <v>4.2</v>
      </c>
      <c r="Q36" s="72">
        <f t="shared" ref="Q36:Q43" si="22">$Q$34+($Q$34*S36)</f>
        <v>43.330559999999998</v>
      </c>
      <c r="R36" s="85">
        <f t="shared" si="6"/>
        <v>37.497599999999998</v>
      </c>
      <c r="S36" s="93">
        <f t="shared" ref="S36:S43" si="23">$Q$34*$O36/$T$2/2</f>
        <v>4.1599999999999998E-2</v>
      </c>
    </row>
    <row r="37" spans="7:20">
      <c r="G37" s="13">
        <v>44159</v>
      </c>
      <c r="H37" s="18"/>
      <c r="I37" s="24">
        <v>3</v>
      </c>
      <c r="J37" s="24">
        <v>4</v>
      </c>
      <c r="K37" s="26">
        <v>1</v>
      </c>
      <c r="L37" s="27">
        <v>4</v>
      </c>
      <c r="M37" s="30">
        <v>2</v>
      </c>
      <c r="O37" s="85">
        <v>0.3</v>
      </c>
      <c r="P37" s="88">
        <f t="shared" si="21"/>
        <v>4.3</v>
      </c>
      <c r="Q37" s="72">
        <f t="shared" si="22"/>
        <v>44.195840000000004</v>
      </c>
      <c r="R37" s="85">
        <f t="shared" si="6"/>
        <v>38.246400000000008</v>
      </c>
      <c r="S37" s="93">
        <f t="shared" si="23"/>
        <v>6.2400000000000004E-2</v>
      </c>
    </row>
    <row r="38" spans="7:20">
      <c r="G38" s="13">
        <v>44160</v>
      </c>
      <c r="H38" s="18"/>
      <c r="I38" s="24"/>
      <c r="J38" s="24">
        <v>5</v>
      </c>
      <c r="K38" s="27">
        <v>2</v>
      </c>
      <c r="L38" s="28">
        <v>5</v>
      </c>
      <c r="M38" s="30">
        <v>3</v>
      </c>
      <c r="O38" s="85">
        <v>0.4</v>
      </c>
      <c r="P38" s="88">
        <f t="shared" si="21"/>
        <v>4.4000000000000004</v>
      </c>
      <c r="Q38" s="72">
        <f t="shared" si="22"/>
        <v>45.061120000000003</v>
      </c>
      <c r="R38" s="85">
        <f t="shared" si="6"/>
        <v>38.995200000000004</v>
      </c>
      <c r="S38" s="93">
        <f t="shared" si="23"/>
        <v>8.3199999999999996E-2</v>
      </c>
    </row>
    <row r="39" spans="7:20">
      <c r="G39" s="13">
        <v>44161</v>
      </c>
      <c r="H39" s="18"/>
      <c r="I39" s="24"/>
      <c r="J39" s="24"/>
      <c r="K39" s="27"/>
      <c r="L39" s="29">
        <v>1</v>
      </c>
      <c r="M39" s="30">
        <v>4</v>
      </c>
      <c r="O39" s="85">
        <v>0.5</v>
      </c>
      <c r="P39" s="88">
        <f t="shared" si="21"/>
        <v>4.5</v>
      </c>
      <c r="Q39" s="72">
        <f t="shared" si="22"/>
        <v>45.926400000000001</v>
      </c>
      <c r="R39" s="85">
        <f t="shared" si="6"/>
        <v>39.744</v>
      </c>
      <c r="S39" s="93">
        <f t="shared" si="23"/>
        <v>0.10400000000000001</v>
      </c>
    </row>
    <row r="40" spans="7:20">
      <c r="G40" s="13">
        <v>44162</v>
      </c>
      <c r="H40" s="18"/>
      <c r="I40" s="24"/>
      <c r="J40" s="24"/>
      <c r="K40" s="27"/>
      <c r="L40" s="30"/>
      <c r="M40" s="31">
        <v>5</v>
      </c>
      <c r="O40" s="85">
        <v>0.6</v>
      </c>
      <c r="P40" s="88">
        <f t="shared" si="21"/>
        <v>4.5999999999999996</v>
      </c>
      <c r="Q40" s="72">
        <f t="shared" si="22"/>
        <v>46.791679999999999</v>
      </c>
      <c r="R40" s="85">
        <f t="shared" si="6"/>
        <v>40.492800000000003</v>
      </c>
      <c r="S40" s="93">
        <f t="shared" si="23"/>
        <v>0.12480000000000001</v>
      </c>
    </row>
    <row r="41" spans="7:20">
      <c r="G41" s="14">
        <v>44163</v>
      </c>
      <c r="H41" s="35"/>
      <c r="I41" s="35"/>
      <c r="J41" s="35"/>
      <c r="K41" s="35"/>
      <c r="L41" s="35"/>
      <c r="M41" s="16"/>
      <c r="O41" s="85">
        <v>0.7</v>
      </c>
      <c r="P41" s="88">
        <f t="shared" si="21"/>
        <v>4.7</v>
      </c>
      <c r="Q41" s="72">
        <f t="shared" si="22"/>
        <v>47.656959999999998</v>
      </c>
      <c r="R41" s="85">
        <f t="shared" si="6"/>
        <v>41.241599999999998</v>
      </c>
      <c r="S41" s="93">
        <f t="shared" si="23"/>
        <v>0.14559999999999998</v>
      </c>
    </row>
    <row r="42" spans="7:20">
      <c r="G42" s="14">
        <v>44164</v>
      </c>
      <c r="H42" s="35"/>
      <c r="I42" s="35"/>
      <c r="J42" s="35"/>
      <c r="K42" s="35"/>
      <c r="L42" s="35"/>
      <c r="M42" s="16"/>
      <c r="O42" s="85">
        <v>0.8</v>
      </c>
      <c r="P42" s="88">
        <f t="shared" si="21"/>
        <v>4.8</v>
      </c>
      <c r="Q42" s="72">
        <f t="shared" si="22"/>
        <v>48.522240000000004</v>
      </c>
      <c r="R42" s="85">
        <f t="shared" si="6"/>
        <v>41.990400000000008</v>
      </c>
      <c r="S42" s="93">
        <f t="shared" si="23"/>
        <v>0.16639999999999999</v>
      </c>
    </row>
    <row r="43" spans="7:20">
      <c r="G43" s="13">
        <v>44165</v>
      </c>
      <c r="H43" s="18">
        <v>2</v>
      </c>
      <c r="I43" s="24">
        <v>4</v>
      </c>
      <c r="J43" s="24">
        <v>1</v>
      </c>
      <c r="K43" s="27">
        <v>3</v>
      </c>
      <c r="L43" s="30">
        <v>2</v>
      </c>
      <c r="M43" s="32">
        <v>1</v>
      </c>
      <c r="O43" s="85">
        <v>0.9</v>
      </c>
      <c r="P43" s="88">
        <f t="shared" si="21"/>
        <v>4.9000000000000004</v>
      </c>
      <c r="Q43" s="72">
        <f t="shared" si="22"/>
        <v>49.387520000000002</v>
      </c>
      <c r="R43" s="85">
        <f t="shared" si="6"/>
        <v>42.739200000000004</v>
      </c>
      <c r="S43" s="93">
        <f t="shared" si="23"/>
        <v>0.18720000000000003</v>
      </c>
    </row>
    <row r="44" spans="7:20">
      <c r="G44" s="13">
        <v>44166</v>
      </c>
      <c r="H44" s="18"/>
      <c r="I44" s="25">
        <v>5</v>
      </c>
      <c r="J44" s="24">
        <v>2</v>
      </c>
      <c r="K44" s="27">
        <v>4</v>
      </c>
      <c r="L44" s="30">
        <v>3</v>
      </c>
      <c r="M44" s="33">
        <v>2</v>
      </c>
      <c r="O44" s="91">
        <v>5</v>
      </c>
      <c r="P44" s="96">
        <f>O44</f>
        <v>5</v>
      </c>
      <c r="Q44" s="92">
        <f>$M$7</f>
        <v>52</v>
      </c>
      <c r="R44" s="91">
        <f t="shared" si="6"/>
        <v>45</v>
      </c>
      <c r="S44" s="93"/>
    </row>
    <row r="45" spans="7:20">
      <c r="G45" s="13">
        <v>44167</v>
      </c>
      <c r="H45" s="18"/>
      <c r="K45" s="28">
        <v>5</v>
      </c>
      <c r="L45" s="30">
        <v>4</v>
      </c>
      <c r="M45" s="33">
        <v>3</v>
      </c>
      <c r="O45" s="85"/>
      <c r="P45" s="88"/>
      <c r="Q45" s="72"/>
    </row>
    <row r="46" spans="7:20">
      <c r="G46" s="13">
        <v>44168</v>
      </c>
      <c r="H46" s="18"/>
      <c r="L46" s="30">
        <v>5</v>
      </c>
      <c r="M46" s="33">
        <v>4</v>
      </c>
      <c r="O46" s="85"/>
      <c r="P46" s="88"/>
      <c r="Q46" s="72"/>
    </row>
    <row r="47" spans="7:20">
      <c r="G47" s="13">
        <v>44169</v>
      </c>
      <c r="H47" s="18"/>
      <c r="L47" s="31"/>
      <c r="M47" s="34">
        <v>5</v>
      </c>
      <c r="O47" s="85"/>
      <c r="P47" s="88"/>
      <c r="Q47" s="72"/>
    </row>
    <row r="48" spans="7:20">
      <c r="G48" s="13">
        <v>44170</v>
      </c>
      <c r="H48" s="35"/>
      <c r="I48" s="15"/>
      <c r="J48" s="15"/>
      <c r="K48" s="15"/>
      <c r="L48" s="15"/>
      <c r="M48" s="15"/>
      <c r="O48" s="85"/>
      <c r="P48" s="88"/>
      <c r="Q48" s="72">
        <f>O43*Q34</f>
        <v>37.440000000000005</v>
      </c>
    </row>
    <row r="49" spans="7:17">
      <c r="G49" s="13">
        <v>44171</v>
      </c>
      <c r="H49" s="35"/>
      <c r="I49" s="12"/>
      <c r="J49" s="12"/>
      <c r="K49" s="12"/>
      <c r="L49" s="12"/>
      <c r="M49" s="12"/>
      <c r="O49" s="85"/>
      <c r="P49" s="88"/>
      <c r="Q49" s="72"/>
    </row>
    <row r="50" spans="7:17">
      <c r="G50" s="13">
        <v>44172</v>
      </c>
      <c r="H50" s="19">
        <v>3</v>
      </c>
      <c r="I50" s="20">
        <v>1</v>
      </c>
      <c r="J50" s="20">
        <v>3</v>
      </c>
      <c r="K50" s="17">
        <v>1</v>
      </c>
      <c r="L50" s="17">
        <v>1</v>
      </c>
      <c r="M50" s="17">
        <v>1</v>
      </c>
      <c r="O50" s="85"/>
      <c r="P50" s="88"/>
      <c r="Q50" s="72"/>
    </row>
    <row r="51" spans="7:17">
      <c r="G51" s="13">
        <v>44173</v>
      </c>
      <c r="H51" s="12"/>
      <c r="I51" s="21">
        <v>2</v>
      </c>
      <c r="J51" s="21">
        <v>4</v>
      </c>
      <c r="K51" s="18">
        <v>2</v>
      </c>
      <c r="L51" s="18">
        <v>2</v>
      </c>
      <c r="M51" s="18">
        <v>2</v>
      </c>
      <c r="O51" s="85"/>
      <c r="P51" s="88"/>
      <c r="Q51" s="72"/>
    </row>
    <row r="52" spans="7:17">
      <c r="G52" s="13">
        <v>44174</v>
      </c>
      <c r="I52" s="21"/>
      <c r="J52" s="21">
        <v>5</v>
      </c>
      <c r="K52" s="18">
        <v>3</v>
      </c>
      <c r="L52" s="18">
        <v>3</v>
      </c>
      <c r="M52" s="18">
        <v>3</v>
      </c>
      <c r="O52" s="85"/>
      <c r="P52" s="88"/>
      <c r="Q52" s="72"/>
    </row>
    <row r="53" spans="7:17">
      <c r="G53" s="13">
        <v>44175</v>
      </c>
      <c r="I53" s="21"/>
      <c r="J53" s="21"/>
      <c r="K53" s="18"/>
      <c r="L53" s="18">
        <v>4</v>
      </c>
      <c r="M53" s="18">
        <v>4</v>
      </c>
      <c r="O53" s="85"/>
      <c r="P53" s="88"/>
      <c r="Q53" s="72"/>
    </row>
    <row r="54" spans="7:17">
      <c r="G54" s="13">
        <v>44176</v>
      </c>
      <c r="I54" s="21"/>
      <c r="J54" s="21"/>
      <c r="K54" s="18"/>
      <c r="L54" s="18"/>
      <c r="M54" s="19">
        <v>5</v>
      </c>
      <c r="O54" s="85"/>
      <c r="P54" s="88"/>
      <c r="Q54" s="72"/>
    </row>
    <row r="55" spans="7:17">
      <c r="G55" s="13">
        <v>44177</v>
      </c>
      <c r="I55" s="36"/>
      <c r="J55" s="36"/>
      <c r="K55" s="35"/>
      <c r="L55" s="35"/>
      <c r="M55" s="16"/>
      <c r="O55" s="85"/>
      <c r="P55" s="88"/>
      <c r="Q55" s="72"/>
    </row>
    <row r="56" spans="7:17">
      <c r="G56" s="13">
        <v>44178</v>
      </c>
      <c r="I56" s="36"/>
      <c r="J56" s="36"/>
      <c r="K56" s="35"/>
      <c r="L56" s="35"/>
      <c r="M56" s="16"/>
      <c r="O56" s="85"/>
      <c r="P56" s="88"/>
      <c r="Q56" s="72"/>
    </row>
    <row r="57" spans="7:17">
      <c r="G57" s="13">
        <v>44179</v>
      </c>
      <c r="H57" s="17">
        <v>1</v>
      </c>
      <c r="I57" s="21">
        <v>3</v>
      </c>
      <c r="J57" s="21">
        <v>1</v>
      </c>
      <c r="K57" s="18">
        <v>4</v>
      </c>
      <c r="L57" s="21">
        <v>5</v>
      </c>
      <c r="M57" s="23">
        <v>1</v>
      </c>
      <c r="O57" s="85"/>
      <c r="P57" s="88"/>
      <c r="Q57" s="72"/>
    </row>
    <row r="58" spans="7:17">
      <c r="G58" s="13">
        <v>44180</v>
      </c>
      <c r="H58" s="18"/>
      <c r="I58" s="21">
        <v>4</v>
      </c>
      <c r="J58" s="21">
        <v>2</v>
      </c>
      <c r="K58" s="21">
        <v>5</v>
      </c>
      <c r="L58" s="23">
        <v>1</v>
      </c>
      <c r="M58" s="24">
        <v>2</v>
      </c>
      <c r="O58" s="85"/>
      <c r="P58" s="88"/>
      <c r="Q58" s="72"/>
    </row>
    <row r="59" spans="7:17">
      <c r="G59" s="13">
        <v>44181</v>
      </c>
      <c r="H59" s="18"/>
      <c r="I59" s="21"/>
      <c r="J59" s="21"/>
      <c r="K59" s="23">
        <v>1</v>
      </c>
      <c r="L59" s="24">
        <v>2</v>
      </c>
      <c r="M59" s="24">
        <v>3</v>
      </c>
      <c r="O59" s="85"/>
      <c r="P59" s="88"/>
      <c r="Q59" s="72"/>
    </row>
    <row r="60" spans="7:17">
      <c r="G60" s="13">
        <v>44182</v>
      </c>
      <c r="H60" s="18"/>
      <c r="I60" s="21"/>
      <c r="J60" s="21"/>
      <c r="K60" s="24"/>
      <c r="L60" s="24">
        <v>3</v>
      </c>
      <c r="M60" s="24">
        <v>4</v>
      </c>
      <c r="O60" s="85"/>
      <c r="P60" s="88"/>
      <c r="Q60" s="72"/>
    </row>
    <row r="61" spans="7:17">
      <c r="G61" s="13">
        <v>44183</v>
      </c>
      <c r="H61" s="18"/>
      <c r="I61" s="21"/>
      <c r="J61" s="21"/>
      <c r="K61" s="24"/>
      <c r="L61" s="24"/>
      <c r="M61" s="25">
        <v>5</v>
      </c>
      <c r="O61" s="85"/>
      <c r="P61" s="88"/>
      <c r="Q61" s="72"/>
    </row>
    <row r="62" spans="7:17">
      <c r="G62" s="13">
        <v>44184</v>
      </c>
      <c r="H62" s="35"/>
      <c r="I62" s="36"/>
      <c r="J62" s="36"/>
      <c r="K62" s="35"/>
      <c r="L62" s="35"/>
      <c r="M62" s="16"/>
      <c r="O62" s="85"/>
      <c r="P62" s="88"/>
      <c r="Q62" s="72"/>
    </row>
    <row r="63" spans="7:17">
      <c r="G63" s="13">
        <v>44185</v>
      </c>
      <c r="H63" s="35"/>
      <c r="I63" s="36"/>
      <c r="J63" s="36"/>
      <c r="K63" s="35"/>
      <c r="L63" s="35"/>
      <c r="M63" s="16"/>
      <c r="O63" s="85"/>
      <c r="P63" s="88"/>
      <c r="Q63" s="72"/>
    </row>
    <row r="64" spans="7:17">
      <c r="G64" s="13">
        <v>44186</v>
      </c>
      <c r="H64" s="18">
        <v>2</v>
      </c>
      <c r="I64" s="22">
        <v>5</v>
      </c>
      <c r="J64" s="21">
        <v>3</v>
      </c>
      <c r="K64" s="24">
        <v>2</v>
      </c>
      <c r="L64" s="24">
        <v>4</v>
      </c>
      <c r="M64" s="26">
        <v>1</v>
      </c>
      <c r="O64" s="85"/>
      <c r="P64" s="88"/>
      <c r="Q64" s="72"/>
    </row>
    <row r="65" spans="7:17">
      <c r="G65" s="13">
        <v>44187</v>
      </c>
      <c r="H65" s="18"/>
      <c r="I65" s="23">
        <v>1</v>
      </c>
      <c r="J65" s="24">
        <v>4</v>
      </c>
      <c r="K65" s="24">
        <v>3</v>
      </c>
      <c r="L65" s="25">
        <v>5</v>
      </c>
      <c r="M65" s="27">
        <v>2</v>
      </c>
      <c r="O65" s="85"/>
      <c r="P65" s="88"/>
      <c r="Q65" s="72"/>
    </row>
    <row r="66" spans="7:17">
      <c r="G66" s="13">
        <v>44188</v>
      </c>
      <c r="H66" s="18"/>
      <c r="I66" s="24"/>
      <c r="J66" s="24">
        <v>5</v>
      </c>
      <c r="K66" s="24">
        <v>4</v>
      </c>
      <c r="L66" s="26">
        <v>1</v>
      </c>
      <c r="M66" s="27">
        <v>3</v>
      </c>
      <c r="O66" s="85"/>
      <c r="P66" s="88"/>
      <c r="Q66" s="72"/>
    </row>
    <row r="67" spans="7:17">
      <c r="G67" s="13">
        <v>44189</v>
      </c>
      <c r="H67" s="18"/>
      <c r="I67" s="24"/>
      <c r="J67" s="24"/>
      <c r="K67" s="24"/>
      <c r="L67" s="27">
        <v>2</v>
      </c>
      <c r="M67" s="27">
        <v>4</v>
      </c>
      <c r="O67" s="85"/>
      <c r="P67" s="88"/>
      <c r="Q67" s="72"/>
    </row>
    <row r="68" spans="7:17">
      <c r="G68" s="13">
        <v>44190</v>
      </c>
      <c r="H68" s="18"/>
      <c r="I68" s="24"/>
      <c r="J68" s="24"/>
      <c r="K68" s="24"/>
      <c r="L68" s="27"/>
      <c r="M68" s="28">
        <v>5</v>
      </c>
      <c r="O68" s="85"/>
      <c r="P68" s="88"/>
      <c r="Q68" s="72"/>
    </row>
    <row r="69" spans="7:17">
      <c r="G69" s="13">
        <v>44191</v>
      </c>
      <c r="H69" s="35"/>
      <c r="I69" s="35"/>
      <c r="J69" s="35"/>
      <c r="K69" s="35"/>
      <c r="L69" s="35"/>
      <c r="M69" s="16"/>
      <c r="O69" s="85"/>
      <c r="P69" s="88"/>
      <c r="Q69" s="72"/>
    </row>
    <row r="70" spans="7:17">
      <c r="G70" s="13">
        <v>44192</v>
      </c>
      <c r="H70" s="35"/>
      <c r="I70" s="35"/>
      <c r="J70" s="35"/>
      <c r="K70" s="35"/>
      <c r="L70" s="35"/>
      <c r="M70" s="16"/>
      <c r="O70" s="85"/>
      <c r="P70" s="88"/>
      <c r="Q70" s="72"/>
    </row>
    <row r="71" spans="7:17">
      <c r="G71" s="13">
        <v>44193</v>
      </c>
      <c r="H71" s="19">
        <v>3</v>
      </c>
      <c r="I71" s="24">
        <v>2</v>
      </c>
      <c r="J71" s="24"/>
      <c r="K71" s="25">
        <v>5</v>
      </c>
      <c r="L71" s="27">
        <v>3</v>
      </c>
      <c r="M71" s="29">
        <v>1</v>
      </c>
      <c r="O71" s="85"/>
      <c r="P71" s="88"/>
      <c r="Q71" s="72"/>
    </row>
    <row r="72" spans="7:17">
      <c r="G72" s="13">
        <v>44194</v>
      </c>
      <c r="I72" s="24">
        <v>3</v>
      </c>
      <c r="J72" s="24"/>
      <c r="K72" s="26">
        <v>1</v>
      </c>
      <c r="L72" s="27">
        <v>4</v>
      </c>
      <c r="M72" s="30">
        <v>2</v>
      </c>
      <c r="O72" s="85"/>
      <c r="P72" s="88"/>
      <c r="Q72" s="72"/>
    </row>
    <row r="73" spans="7:17">
      <c r="G73" s="13">
        <v>44195</v>
      </c>
      <c r="I73" s="24"/>
      <c r="J73" s="24"/>
      <c r="K73" s="27">
        <v>2</v>
      </c>
      <c r="L73" s="28">
        <v>5</v>
      </c>
      <c r="M73" s="30">
        <v>3</v>
      </c>
      <c r="O73" s="85"/>
      <c r="P73" s="88"/>
      <c r="Q73" s="72"/>
    </row>
    <row r="74" spans="7:17">
      <c r="G74" s="13">
        <v>44196</v>
      </c>
      <c r="I74" s="24"/>
      <c r="J74" s="24"/>
      <c r="K74" s="27"/>
      <c r="L74" s="29">
        <v>1</v>
      </c>
      <c r="M74" s="30">
        <v>4</v>
      </c>
      <c r="O74" s="85"/>
      <c r="P74" s="88"/>
      <c r="Q74" s="72"/>
    </row>
    <row r="75" spans="7:17">
      <c r="G75" s="13">
        <v>44197</v>
      </c>
      <c r="I75" s="24"/>
      <c r="J75" s="24"/>
      <c r="K75" s="27"/>
      <c r="L75" s="30"/>
      <c r="M75" s="31">
        <v>5</v>
      </c>
      <c r="O75" s="85"/>
      <c r="P75" s="88"/>
      <c r="Q75" s="72"/>
    </row>
    <row r="76" spans="7:17">
      <c r="G76" s="13">
        <v>44198</v>
      </c>
      <c r="I76" s="35"/>
      <c r="J76" s="35"/>
      <c r="K76" s="35"/>
      <c r="L76" s="35"/>
      <c r="M76" s="16"/>
      <c r="O76" s="85"/>
      <c r="P76" s="88"/>
      <c r="Q76" s="72"/>
    </row>
    <row r="77" spans="7:17">
      <c r="G77" s="13">
        <v>44199</v>
      </c>
      <c r="I77" s="35"/>
      <c r="J77" s="35"/>
      <c r="K77" s="35"/>
      <c r="L77" s="35"/>
      <c r="M77" s="16"/>
      <c r="O77" s="85"/>
      <c r="P77" s="88"/>
      <c r="Q77" s="72"/>
    </row>
    <row r="78" spans="7:17">
      <c r="G78" s="13">
        <v>44200</v>
      </c>
      <c r="H78" s="17">
        <v>1</v>
      </c>
      <c r="I78" s="24">
        <v>4</v>
      </c>
      <c r="J78" s="24">
        <v>1</v>
      </c>
      <c r="K78" s="27">
        <v>3</v>
      </c>
      <c r="L78" s="30">
        <v>2</v>
      </c>
      <c r="M78" s="32">
        <v>1</v>
      </c>
      <c r="O78" s="85"/>
      <c r="P78" s="88"/>
      <c r="Q78" s="72"/>
    </row>
    <row r="79" spans="7:17">
      <c r="G79" s="13">
        <v>44201</v>
      </c>
      <c r="H79" s="18"/>
      <c r="I79" s="25">
        <v>5</v>
      </c>
      <c r="J79" s="24">
        <v>2</v>
      </c>
      <c r="K79" s="27">
        <v>4</v>
      </c>
      <c r="L79" s="30">
        <v>3</v>
      </c>
      <c r="M79" s="33">
        <v>2</v>
      </c>
      <c r="O79" s="85"/>
      <c r="P79" s="88"/>
      <c r="Q79" s="72"/>
    </row>
    <row r="80" spans="7:17">
      <c r="G80" s="13">
        <v>44202</v>
      </c>
      <c r="H80" s="18"/>
      <c r="K80" s="28">
        <v>5</v>
      </c>
      <c r="L80" s="30">
        <v>4</v>
      </c>
      <c r="M80" s="33">
        <v>3</v>
      </c>
      <c r="O80" s="85"/>
      <c r="P80" s="88"/>
      <c r="Q80" s="72"/>
    </row>
    <row r="81" spans="7:17">
      <c r="G81" s="13">
        <v>44203</v>
      </c>
      <c r="H81" s="18"/>
      <c r="L81" s="30">
        <v>5</v>
      </c>
      <c r="M81" s="33">
        <v>4</v>
      </c>
      <c r="O81" s="85"/>
      <c r="P81" s="88"/>
      <c r="Q81" s="72"/>
    </row>
    <row r="82" spans="7:17">
      <c r="G82" s="13">
        <v>44204</v>
      </c>
      <c r="H82" s="18"/>
      <c r="L82" s="31"/>
      <c r="M82" s="34">
        <v>5</v>
      </c>
      <c r="O82" s="85"/>
      <c r="P82" s="88"/>
      <c r="Q82" s="72"/>
    </row>
    <row r="83" spans="7:17">
      <c r="G83" s="13">
        <v>44205</v>
      </c>
      <c r="H83" s="35"/>
      <c r="O83" s="85"/>
      <c r="P83" s="88"/>
      <c r="Q83" s="72"/>
    </row>
    <row r="84" spans="7:17">
      <c r="G84" s="13">
        <v>44206</v>
      </c>
      <c r="H84" s="35"/>
      <c r="O84" s="85"/>
      <c r="P84" s="88"/>
      <c r="Q84" s="72"/>
    </row>
    <row r="85" spans="7:17">
      <c r="G85" s="13">
        <v>44207</v>
      </c>
      <c r="H85" s="18">
        <v>2</v>
      </c>
      <c r="I85" s="20">
        <v>1</v>
      </c>
      <c r="J85" s="20">
        <v>3</v>
      </c>
      <c r="K85" s="17">
        <v>1</v>
      </c>
      <c r="L85" s="17">
        <v>1</v>
      </c>
      <c r="M85" s="17">
        <v>1</v>
      </c>
      <c r="O85" s="85"/>
      <c r="P85" s="88"/>
      <c r="Q85" s="72"/>
    </row>
    <row r="86" spans="7:17">
      <c r="G86" s="13">
        <v>44208</v>
      </c>
      <c r="H86" s="18"/>
      <c r="I86" s="21">
        <v>2</v>
      </c>
      <c r="J86" s="21">
        <v>4</v>
      </c>
      <c r="K86" s="18">
        <v>2</v>
      </c>
      <c r="L86" s="18">
        <v>2</v>
      </c>
      <c r="M86" s="18">
        <v>2</v>
      </c>
      <c r="O86" s="85"/>
      <c r="P86" s="88"/>
      <c r="Q86" s="72"/>
    </row>
    <row r="87" spans="7:17">
      <c r="G87" s="13">
        <v>44209</v>
      </c>
      <c r="H87" s="18"/>
      <c r="I87" s="21"/>
      <c r="J87" s="21">
        <v>5</v>
      </c>
      <c r="K87" s="18">
        <v>3</v>
      </c>
      <c r="L87" s="18">
        <v>3</v>
      </c>
      <c r="M87" s="18">
        <v>3</v>
      </c>
      <c r="O87" s="85"/>
      <c r="P87" s="88"/>
      <c r="Q87" s="72"/>
    </row>
    <row r="88" spans="7:17">
      <c r="G88" s="13">
        <v>44210</v>
      </c>
      <c r="H88" s="18"/>
      <c r="I88" s="21"/>
      <c r="J88" s="21"/>
      <c r="K88" s="18"/>
      <c r="L88" s="18">
        <v>4</v>
      </c>
      <c r="M88" s="18">
        <v>4</v>
      </c>
      <c r="O88" s="85"/>
      <c r="P88" s="88"/>
      <c r="Q88" s="72"/>
    </row>
    <row r="89" spans="7:17">
      <c r="G89" s="13">
        <v>44211</v>
      </c>
      <c r="H89" s="18"/>
      <c r="I89" s="21"/>
      <c r="J89" s="21"/>
      <c r="K89" s="18"/>
      <c r="L89" s="18"/>
      <c r="M89" s="19">
        <v>5</v>
      </c>
      <c r="O89" s="85"/>
      <c r="P89" s="88"/>
      <c r="Q89" s="72"/>
    </row>
    <row r="90" spans="7:17">
      <c r="G90" s="13">
        <v>44212</v>
      </c>
      <c r="H90" s="35"/>
      <c r="I90" s="36"/>
      <c r="J90" s="36"/>
      <c r="K90" s="35"/>
      <c r="L90" s="35"/>
      <c r="M90" s="16"/>
      <c r="O90" s="85"/>
      <c r="P90" s="88"/>
      <c r="Q90" s="72"/>
    </row>
    <row r="91" spans="7:17">
      <c r="G91" s="13">
        <v>44213</v>
      </c>
      <c r="H91" s="35"/>
      <c r="I91" s="36"/>
      <c r="J91" s="36"/>
      <c r="K91" s="35"/>
      <c r="L91" s="35"/>
      <c r="M91" s="16"/>
      <c r="O91" s="85"/>
      <c r="P91" s="88"/>
      <c r="Q91" s="72"/>
    </row>
    <row r="92" spans="7:17">
      <c r="G92" s="13">
        <v>44214</v>
      </c>
      <c r="H92" s="19">
        <v>3</v>
      </c>
      <c r="I92" s="21">
        <v>3</v>
      </c>
      <c r="J92" s="21">
        <v>1</v>
      </c>
      <c r="K92" s="18">
        <v>4</v>
      </c>
      <c r="L92" s="21">
        <v>5</v>
      </c>
      <c r="M92" s="23">
        <v>1</v>
      </c>
      <c r="O92" s="85"/>
      <c r="P92" s="88"/>
      <c r="Q92" s="72"/>
    </row>
    <row r="93" spans="7:17">
      <c r="G93" s="13">
        <v>44215</v>
      </c>
      <c r="I93" s="21">
        <v>4</v>
      </c>
      <c r="J93" s="21">
        <v>2</v>
      </c>
      <c r="K93" s="21">
        <v>5</v>
      </c>
      <c r="L93" s="23">
        <v>1</v>
      </c>
      <c r="M93" s="24">
        <v>2</v>
      </c>
      <c r="O93" s="85"/>
      <c r="P93" s="88"/>
      <c r="Q93" s="72"/>
    </row>
    <row r="94" spans="7:17">
      <c r="G94" s="13">
        <v>44216</v>
      </c>
      <c r="I94" s="21"/>
      <c r="J94" s="21"/>
      <c r="K94" s="23">
        <v>1</v>
      </c>
      <c r="L94" s="24">
        <v>2</v>
      </c>
      <c r="M94" s="24">
        <v>3</v>
      </c>
      <c r="O94" s="85"/>
      <c r="P94" s="88"/>
      <c r="Q94" s="72"/>
    </row>
    <row r="95" spans="7:17">
      <c r="G95" s="13">
        <v>44217</v>
      </c>
      <c r="I95" s="21"/>
      <c r="J95" s="21"/>
      <c r="K95" s="24"/>
      <c r="L95" s="24">
        <v>3</v>
      </c>
      <c r="M95" s="24">
        <v>4</v>
      </c>
      <c r="O95" s="85"/>
      <c r="P95" s="88"/>
      <c r="Q95" s="72"/>
    </row>
    <row r="96" spans="7:17">
      <c r="G96" s="13">
        <v>44218</v>
      </c>
      <c r="I96" s="21"/>
      <c r="J96" s="21"/>
      <c r="K96" s="24"/>
      <c r="L96" s="24"/>
      <c r="M96" s="25">
        <v>5</v>
      </c>
      <c r="O96" s="85"/>
      <c r="P96" s="88"/>
      <c r="Q96" s="72"/>
    </row>
    <row r="97" spans="7:17">
      <c r="G97" s="13">
        <v>44219</v>
      </c>
      <c r="I97" s="36"/>
      <c r="J97" s="36"/>
      <c r="K97" s="35"/>
      <c r="L97" s="35"/>
      <c r="M97" s="16"/>
      <c r="O97" s="85"/>
      <c r="P97" s="88"/>
      <c r="Q97" s="72"/>
    </row>
    <row r="98" spans="7:17">
      <c r="G98" s="13">
        <v>44220</v>
      </c>
      <c r="I98" s="36"/>
      <c r="J98" s="36"/>
      <c r="K98" s="35"/>
      <c r="L98" s="35"/>
      <c r="M98" s="16"/>
      <c r="O98" s="85"/>
      <c r="P98" s="88"/>
      <c r="Q98" s="72"/>
    </row>
    <row r="99" spans="7:17">
      <c r="G99" s="13">
        <v>44221</v>
      </c>
      <c r="H99" s="17">
        <v>1</v>
      </c>
      <c r="I99" s="22">
        <v>5</v>
      </c>
      <c r="J99" s="21">
        <v>3</v>
      </c>
      <c r="K99" s="24">
        <v>2</v>
      </c>
      <c r="L99" s="24">
        <v>4</v>
      </c>
      <c r="M99" s="26">
        <v>1</v>
      </c>
      <c r="O99" s="85"/>
      <c r="P99" s="88"/>
      <c r="Q99" s="72"/>
    </row>
    <row r="100" spans="7:17">
      <c r="G100" s="13">
        <v>44222</v>
      </c>
      <c r="H100" s="18"/>
      <c r="I100" s="23">
        <v>1</v>
      </c>
      <c r="J100" s="24">
        <v>4</v>
      </c>
      <c r="K100" s="24">
        <v>3</v>
      </c>
      <c r="L100" s="25">
        <v>5</v>
      </c>
      <c r="M100" s="27">
        <v>2</v>
      </c>
      <c r="O100" s="85"/>
      <c r="P100" s="88"/>
      <c r="Q100" s="72"/>
    </row>
    <row r="101" spans="7:17">
      <c r="G101" s="13">
        <v>44223</v>
      </c>
      <c r="H101" s="18"/>
      <c r="I101" s="24"/>
      <c r="J101" s="24">
        <v>5</v>
      </c>
      <c r="K101" s="24">
        <v>4</v>
      </c>
      <c r="L101" s="26">
        <v>1</v>
      </c>
      <c r="M101" s="27">
        <v>3</v>
      </c>
      <c r="O101" s="85"/>
      <c r="P101" s="88"/>
      <c r="Q101" s="72"/>
    </row>
    <row r="102" spans="7:17">
      <c r="G102" s="13">
        <v>44224</v>
      </c>
      <c r="H102" s="18"/>
      <c r="I102" s="24"/>
      <c r="J102" s="24"/>
      <c r="K102" s="24"/>
      <c r="L102" s="27">
        <v>2</v>
      </c>
      <c r="M102" s="27">
        <v>4</v>
      </c>
      <c r="O102" s="85"/>
      <c r="P102" s="88"/>
      <c r="Q102" s="72"/>
    </row>
    <row r="103" spans="7:17">
      <c r="G103" s="13">
        <v>44225</v>
      </c>
      <c r="H103" s="18"/>
      <c r="I103" s="24"/>
      <c r="J103" s="24"/>
      <c r="K103" s="24"/>
      <c r="L103" s="27"/>
      <c r="M103" s="28">
        <v>5</v>
      </c>
      <c r="O103" s="85"/>
      <c r="P103" s="88"/>
      <c r="Q103" s="72"/>
    </row>
    <row r="104" spans="7:17">
      <c r="G104" s="13">
        <v>44226</v>
      </c>
      <c r="H104" s="35"/>
      <c r="I104" s="35"/>
      <c r="J104" s="35"/>
      <c r="K104" s="35"/>
      <c r="L104" s="35"/>
      <c r="M104" s="16"/>
      <c r="O104" s="85"/>
      <c r="P104" s="88"/>
      <c r="Q104" s="72"/>
    </row>
    <row r="105" spans="7:17">
      <c r="G105" s="13">
        <v>44227</v>
      </c>
      <c r="H105" s="35"/>
      <c r="I105" s="35"/>
      <c r="J105" s="35"/>
      <c r="K105" s="35"/>
      <c r="L105" s="35"/>
      <c r="M105" s="16"/>
    </row>
    <row r="106" spans="7:17">
      <c r="G106" s="13">
        <v>44228</v>
      </c>
      <c r="H106" s="18">
        <v>2</v>
      </c>
      <c r="I106" s="24">
        <v>2</v>
      </c>
      <c r="J106" s="24">
        <v>1</v>
      </c>
      <c r="K106" s="25">
        <v>5</v>
      </c>
      <c r="L106" s="27">
        <v>3</v>
      </c>
      <c r="M106" s="29">
        <v>1</v>
      </c>
    </row>
    <row r="107" spans="7:17">
      <c r="G107" s="13">
        <v>44229</v>
      </c>
      <c r="H107" s="18"/>
      <c r="I107" s="24">
        <v>3</v>
      </c>
      <c r="J107" s="24">
        <v>2</v>
      </c>
      <c r="K107" s="26">
        <v>1</v>
      </c>
      <c r="L107" s="27">
        <v>4</v>
      </c>
      <c r="M107" s="30">
        <v>2</v>
      </c>
    </row>
    <row r="108" spans="7:17">
      <c r="G108" s="13">
        <v>44230</v>
      </c>
      <c r="H108" s="18"/>
      <c r="I108" s="24"/>
      <c r="J108" s="24"/>
      <c r="K108" s="27">
        <v>2</v>
      </c>
      <c r="L108" s="28">
        <v>5</v>
      </c>
      <c r="M108" s="30">
        <v>3</v>
      </c>
    </row>
    <row r="109" spans="7:17">
      <c r="G109" s="13">
        <v>44231</v>
      </c>
      <c r="H109" s="18"/>
      <c r="I109" s="24"/>
      <c r="J109" s="24"/>
      <c r="K109" s="27"/>
      <c r="L109" s="29">
        <v>1</v>
      </c>
      <c r="M109" s="30">
        <v>4</v>
      </c>
    </row>
    <row r="110" spans="7:17">
      <c r="G110" s="13">
        <v>44232</v>
      </c>
      <c r="H110" s="18"/>
      <c r="I110" s="24"/>
      <c r="J110" s="24"/>
      <c r="K110" s="27"/>
      <c r="L110" s="30"/>
      <c r="M110" s="31">
        <v>5</v>
      </c>
    </row>
    <row r="111" spans="7:17">
      <c r="G111" s="13">
        <v>44233</v>
      </c>
      <c r="H111" s="35"/>
      <c r="I111" s="35"/>
      <c r="J111" s="35"/>
      <c r="K111" s="35"/>
      <c r="L111" s="35"/>
      <c r="M111" s="16"/>
    </row>
    <row r="112" spans="7:17">
      <c r="G112" s="13">
        <v>44234</v>
      </c>
      <c r="H112" s="35"/>
      <c r="I112" s="35"/>
      <c r="J112" s="35"/>
      <c r="K112" s="35"/>
      <c r="L112" s="35"/>
      <c r="M112" s="16"/>
    </row>
    <row r="113" spans="7:13">
      <c r="G113" s="13">
        <v>44235</v>
      </c>
      <c r="H113" s="19">
        <v>3</v>
      </c>
      <c r="I113" s="24">
        <v>4</v>
      </c>
      <c r="J113" s="24">
        <v>3</v>
      </c>
      <c r="K113" s="27">
        <v>3</v>
      </c>
      <c r="L113" s="30">
        <v>2</v>
      </c>
      <c r="M113" s="32">
        <v>1</v>
      </c>
    </row>
    <row r="114" spans="7:13">
      <c r="G114" s="13">
        <v>44236</v>
      </c>
      <c r="I114" s="25">
        <v>5</v>
      </c>
      <c r="J114" s="24">
        <v>4</v>
      </c>
      <c r="K114" s="27">
        <v>4</v>
      </c>
      <c r="L114" s="30">
        <v>3</v>
      </c>
      <c r="M114" s="33">
        <v>2</v>
      </c>
    </row>
    <row r="115" spans="7:13">
      <c r="G115" s="13">
        <v>44237</v>
      </c>
      <c r="J115" s="5">
        <v>5</v>
      </c>
      <c r="K115" s="28">
        <v>5</v>
      </c>
      <c r="L115" s="30">
        <v>4</v>
      </c>
      <c r="M115" s="33">
        <v>3</v>
      </c>
    </row>
    <row r="116" spans="7:13">
      <c r="G116" s="13">
        <v>44238</v>
      </c>
      <c r="L116" s="30">
        <v>5</v>
      </c>
      <c r="M116" s="33">
        <v>4</v>
      </c>
    </row>
    <row r="117" spans="7:13">
      <c r="G117" s="13">
        <v>44239</v>
      </c>
      <c r="L117" s="31"/>
      <c r="M117" s="34">
        <v>5</v>
      </c>
    </row>
    <row r="118" spans="7:13">
      <c r="G118" s="13">
        <v>44240</v>
      </c>
    </row>
    <row r="119" spans="7:13">
      <c r="G119" s="13">
        <v>44241</v>
      </c>
    </row>
    <row r="120" spans="7:13">
      <c r="G120" s="13">
        <v>44242</v>
      </c>
      <c r="H120" s="17">
        <v>1</v>
      </c>
      <c r="I120" s="20">
        <v>1</v>
      </c>
      <c r="J120" s="20">
        <v>1</v>
      </c>
      <c r="K120" s="17">
        <v>1</v>
      </c>
      <c r="L120" s="17">
        <v>1</v>
      </c>
      <c r="M120" s="17">
        <v>1</v>
      </c>
    </row>
    <row r="121" spans="7:13">
      <c r="G121" s="13">
        <v>44243</v>
      </c>
      <c r="H121" s="18"/>
      <c r="I121" s="21">
        <v>2</v>
      </c>
      <c r="J121" s="21">
        <v>2</v>
      </c>
      <c r="K121" s="18">
        <v>2</v>
      </c>
      <c r="L121" s="18">
        <v>2</v>
      </c>
      <c r="M121" s="18">
        <v>2</v>
      </c>
    </row>
    <row r="122" spans="7:13">
      <c r="G122" s="13">
        <v>44244</v>
      </c>
      <c r="H122" s="18"/>
      <c r="I122" s="21"/>
      <c r="J122" s="21"/>
      <c r="K122" s="18">
        <v>3</v>
      </c>
      <c r="L122" s="18">
        <v>3</v>
      </c>
      <c r="M122" s="18">
        <v>3</v>
      </c>
    </row>
    <row r="123" spans="7:13">
      <c r="G123" s="13">
        <v>44245</v>
      </c>
      <c r="H123" s="18"/>
      <c r="I123" s="21"/>
      <c r="J123" s="21"/>
      <c r="K123" s="18"/>
      <c r="L123" s="18">
        <v>4</v>
      </c>
      <c r="M123" s="18">
        <v>4</v>
      </c>
    </row>
    <row r="124" spans="7:13">
      <c r="G124" s="13">
        <v>44246</v>
      </c>
      <c r="H124" s="18"/>
      <c r="I124" s="21"/>
      <c r="J124" s="21"/>
      <c r="K124" s="18"/>
      <c r="L124" s="18"/>
      <c r="M124" s="19">
        <v>5</v>
      </c>
    </row>
    <row r="125" spans="7:13">
      <c r="G125" s="13">
        <v>44247</v>
      </c>
      <c r="H125" s="35"/>
      <c r="I125" s="36"/>
      <c r="J125" s="36"/>
      <c r="K125" s="35"/>
      <c r="L125" s="35"/>
      <c r="M125" s="16"/>
    </row>
    <row r="126" spans="7:13">
      <c r="G126" s="13">
        <v>44248</v>
      </c>
      <c r="H126" s="35"/>
      <c r="I126" s="36"/>
      <c r="J126" s="36"/>
      <c r="K126" s="35"/>
      <c r="L126" s="35"/>
      <c r="M126" s="16"/>
    </row>
    <row r="127" spans="7:13">
      <c r="G127" s="13">
        <v>44249</v>
      </c>
      <c r="H127" s="18">
        <v>2</v>
      </c>
      <c r="I127" s="21">
        <v>3</v>
      </c>
      <c r="J127" s="21">
        <v>3</v>
      </c>
      <c r="K127" s="18">
        <v>4</v>
      </c>
      <c r="L127" s="21">
        <v>5</v>
      </c>
      <c r="M127" s="23">
        <v>1</v>
      </c>
    </row>
    <row r="128" spans="7:13">
      <c r="G128" s="13">
        <v>44250</v>
      </c>
      <c r="H128" s="18"/>
      <c r="I128" s="21">
        <v>4</v>
      </c>
      <c r="J128" s="21">
        <v>4</v>
      </c>
      <c r="K128" s="21">
        <v>5</v>
      </c>
      <c r="L128" s="23">
        <v>1</v>
      </c>
      <c r="M128" s="24">
        <v>2</v>
      </c>
    </row>
    <row r="129" spans="7:13">
      <c r="G129" s="13">
        <v>44251</v>
      </c>
      <c r="H129" s="18"/>
      <c r="I129" s="21"/>
      <c r="J129" s="21">
        <v>5</v>
      </c>
      <c r="K129" s="23">
        <v>1</v>
      </c>
      <c r="L129" s="24">
        <v>2</v>
      </c>
      <c r="M129" s="24">
        <v>3</v>
      </c>
    </row>
    <row r="130" spans="7:13">
      <c r="G130" s="13">
        <v>44252</v>
      </c>
      <c r="H130" s="18"/>
      <c r="I130" s="21"/>
      <c r="J130" s="21"/>
      <c r="K130" s="24"/>
      <c r="L130" s="24">
        <v>3</v>
      </c>
      <c r="M130" s="24">
        <v>4</v>
      </c>
    </row>
    <row r="131" spans="7:13">
      <c r="G131" s="13">
        <v>44253</v>
      </c>
      <c r="H131" s="18"/>
      <c r="I131" s="21"/>
      <c r="J131" s="21"/>
      <c r="K131" s="24"/>
      <c r="L131" s="24"/>
      <c r="M131" s="25">
        <v>5</v>
      </c>
    </row>
    <row r="132" spans="7:13">
      <c r="G132" s="13">
        <v>44254</v>
      </c>
      <c r="H132" s="35"/>
      <c r="I132" s="36"/>
      <c r="J132" s="36"/>
      <c r="K132" s="35"/>
      <c r="L132" s="35"/>
      <c r="M132" s="16"/>
    </row>
    <row r="133" spans="7:13">
      <c r="G133" s="13">
        <v>44255</v>
      </c>
      <c r="H133" s="35"/>
      <c r="I133" s="36"/>
      <c r="J133" s="36"/>
      <c r="K133" s="35"/>
      <c r="L133" s="35"/>
      <c r="M133" s="16"/>
    </row>
    <row r="134" spans="7:13">
      <c r="G134" s="13">
        <v>44256</v>
      </c>
      <c r="H134" s="19">
        <v>3</v>
      </c>
      <c r="I134" s="22">
        <v>5</v>
      </c>
      <c r="J134" s="21">
        <v>1</v>
      </c>
      <c r="K134" s="24">
        <v>2</v>
      </c>
      <c r="L134" s="24">
        <v>4</v>
      </c>
      <c r="M134" s="26">
        <v>1</v>
      </c>
    </row>
    <row r="135" spans="7:13">
      <c r="G135" s="13">
        <v>44257</v>
      </c>
      <c r="I135" s="23">
        <v>1</v>
      </c>
      <c r="J135" s="24">
        <v>2</v>
      </c>
      <c r="K135" s="24">
        <v>3</v>
      </c>
      <c r="L135" s="25">
        <v>5</v>
      </c>
      <c r="M135" s="27">
        <v>2</v>
      </c>
    </row>
    <row r="136" spans="7:13">
      <c r="G136" s="13">
        <v>44258</v>
      </c>
      <c r="I136" s="24"/>
      <c r="J136" s="24"/>
      <c r="K136" s="24">
        <v>4</v>
      </c>
      <c r="L136" s="26">
        <v>1</v>
      </c>
      <c r="M136" s="27">
        <v>3</v>
      </c>
    </row>
    <row r="137" spans="7:13">
      <c r="G137" s="13">
        <v>44259</v>
      </c>
      <c r="I137" s="24"/>
      <c r="J137" s="24"/>
      <c r="K137" s="24"/>
      <c r="L137" s="27">
        <v>2</v>
      </c>
      <c r="M137" s="27">
        <v>4</v>
      </c>
    </row>
    <row r="138" spans="7:13">
      <c r="G138" s="13">
        <v>44260</v>
      </c>
      <c r="I138" s="24"/>
      <c r="J138" s="24"/>
      <c r="K138" s="24"/>
      <c r="L138" s="27"/>
      <c r="M138" s="28">
        <v>5</v>
      </c>
    </row>
    <row r="139" spans="7:13">
      <c r="G139" s="13">
        <v>44261</v>
      </c>
      <c r="I139" s="35"/>
      <c r="J139" s="35"/>
      <c r="K139" s="35"/>
      <c r="L139" s="35"/>
      <c r="M139" s="16"/>
    </row>
    <row r="140" spans="7:13">
      <c r="G140" s="13">
        <v>44262</v>
      </c>
      <c r="I140" s="35"/>
      <c r="J140" s="35"/>
      <c r="K140" s="35"/>
      <c r="L140" s="35"/>
      <c r="M140" s="16"/>
    </row>
    <row r="141" spans="7:13">
      <c r="G141" s="13">
        <v>44263</v>
      </c>
      <c r="H141" s="17">
        <v>1</v>
      </c>
      <c r="I141" s="24">
        <v>2</v>
      </c>
      <c r="J141" s="24">
        <v>3</v>
      </c>
      <c r="K141" s="25">
        <v>5</v>
      </c>
      <c r="L141" s="27">
        <v>3</v>
      </c>
      <c r="M141" s="29">
        <v>1</v>
      </c>
    </row>
    <row r="142" spans="7:13">
      <c r="G142" s="13">
        <v>44264</v>
      </c>
      <c r="H142" s="18"/>
      <c r="I142" s="24">
        <v>3</v>
      </c>
      <c r="J142" s="24">
        <v>4</v>
      </c>
      <c r="K142" s="26">
        <v>1</v>
      </c>
      <c r="L142" s="27">
        <v>4</v>
      </c>
      <c r="M142" s="30">
        <v>2</v>
      </c>
    </row>
    <row r="143" spans="7:13">
      <c r="G143" s="13">
        <v>44265</v>
      </c>
      <c r="H143" s="18"/>
      <c r="I143" s="24"/>
      <c r="J143" s="24">
        <v>5</v>
      </c>
      <c r="K143" s="27">
        <v>2</v>
      </c>
      <c r="L143" s="28">
        <v>5</v>
      </c>
      <c r="M143" s="30">
        <v>3</v>
      </c>
    </row>
    <row r="144" spans="7:13">
      <c r="G144" s="13">
        <v>44266</v>
      </c>
      <c r="H144" s="18"/>
      <c r="I144" s="24"/>
      <c r="J144" s="24"/>
      <c r="K144" s="27"/>
      <c r="L144" s="29">
        <v>1</v>
      </c>
      <c r="M144" s="30">
        <v>4</v>
      </c>
    </row>
    <row r="145" spans="7:13">
      <c r="G145" s="13">
        <v>44267</v>
      </c>
      <c r="H145" s="18"/>
      <c r="I145" s="24"/>
      <c r="J145" s="24"/>
      <c r="K145" s="27"/>
      <c r="L145" s="30"/>
      <c r="M145" s="31">
        <v>5</v>
      </c>
    </row>
    <row r="146" spans="7:13">
      <c r="G146" s="13">
        <v>44268</v>
      </c>
      <c r="H146" s="35"/>
      <c r="I146" s="35"/>
      <c r="J146" s="35"/>
      <c r="K146" s="35"/>
      <c r="L146" s="35"/>
      <c r="M146" s="16"/>
    </row>
    <row r="147" spans="7:13">
      <c r="G147" s="13">
        <v>44269</v>
      </c>
      <c r="H147" s="35"/>
      <c r="I147" s="35"/>
      <c r="J147" s="35"/>
      <c r="K147" s="35"/>
      <c r="L147" s="35"/>
      <c r="M147" s="16"/>
    </row>
    <row r="148" spans="7:13">
      <c r="G148" s="13">
        <v>44270</v>
      </c>
      <c r="H148" s="18">
        <v>2</v>
      </c>
      <c r="I148" s="24">
        <v>4</v>
      </c>
      <c r="J148" s="24">
        <v>1</v>
      </c>
      <c r="K148" s="27">
        <v>3</v>
      </c>
      <c r="L148" s="30">
        <v>2</v>
      </c>
      <c r="M148" s="32">
        <v>1</v>
      </c>
    </row>
    <row r="149" spans="7:13">
      <c r="G149" s="13">
        <v>44271</v>
      </c>
      <c r="H149" s="18"/>
      <c r="I149" s="25">
        <v>5</v>
      </c>
      <c r="J149" s="24">
        <v>2</v>
      </c>
      <c r="K149" s="27">
        <v>4</v>
      </c>
      <c r="L149" s="30">
        <v>3</v>
      </c>
      <c r="M149" s="33">
        <v>2</v>
      </c>
    </row>
    <row r="150" spans="7:13">
      <c r="G150" s="13">
        <v>44272</v>
      </c>
      <c r="H150" s="18"/>
      <c r="K150" s="28">
        <v>5</v>
      </c>
      <c r="L150" s="30">
        <v>4</v>
      </c>
      <c r="M150" s="33">
        <v>3</v>
      </c>
    </row>
    <row r="151" spans="7:13">
      <c r="G151" s="13">
        <v>44273</v>
      </c>
      <c r="H151" s="18"/>
      <c r="L151" s="30">
        <v>5</v>
      </c>
      <c r="M151" s="33">
        <v>4</v>
      </c>
    </row>
    <row r="152" spans="7:13">
      <c r="G152" s="13">
        <v>44274</v>
      </c>
      <c r="H152" s="18"/>
      <c r="L152" s="31"/>
      <c r="M152" s="34">
        <v>5</v>
      </c>
    </row>
    <row r="153" spans="7:13">
      <c r="G153" s="13">
        <v>44275</v>
      </c>
      <c r="H153" s="35"/>
    </row>
    <row r="154" spans="7:13">
      <c r="G154" s="13">
        <v>44276</v>
      </c>
      <c r="H154" s="35"/>
    </row>
    <row r="155" spans="7:13">
      <c r="G155" s="13">
        <v>44277</v>
      </c>
      <c r="H155" s="19">
        <v>3</v>
      </c>
      <c r="I155" s="20">
        <v>1</v>
      </c>
      <c r="J155" s="20">
        <v>3</v>
      </c>
      <c r="K155" s="17">
        <v>1</v>
      </c>
      <c r="L155" s="17">
        <v>1</v>
      </c>
      <c r="M155" s="17">
        <v>1</v>
      </c>
    </row>
    <row r="156" spans="7:13">
      <c r="G156" s="13">
        <v>44278</v>
      </c>
      <c r="I156" s="21">
        <v>2</v>
      </c>
      <c r="J156" s="21">
        <v>4</v>
      </c>
      <c r="K156" s="18">
        <v>2</v>
      </c>
      <c r="L156" s="18">
        <v>2</v>
      </c>
      <c r="M156" s="18">
        <v>2</v>
      </c>
    </row>
    <row r="157" spans="7:13">
      <c r="G157" s="13">
        <v>44279</v>
      </c>
      <c r="I157" s="21"/>
      <c r="J157" s="21">
        <v>5</v>
      </c>
      <c r="K157" s="18">
        <v>3</v>
      </c>
      <c r="L157" s="18">
        <v>3</v>
      </c>
      <c r="M157" s="18">
        <v>3</v>
      </c>
    </row>
    <row r="158" spans="7:13">
      <c r="G158" s="13">
        <v>44280</v>
      </c>
      <c r="I158" s="21"/>
      <c r="J158" s="21"/>
      <c r="K158" s="18"/>
      <c r="L158" s="18">
        <v>4</v>
      </c>
      <c r="M158" s="18">
        <v>4</v>
      </c>
    </row>
    <row r="159" spans="7:13">
      <c r="G159" s="13">
        <v>44281</v>
      </c>
      <c r="I159" s="21"/>
      <c r="J159" s="21"/>
      <c r="K159" s="18"/>
      <c r="L159" s="18"/>
      <c r="M159" s="19">
        <v>5</v>
      </c>
    </row>
    <row r="160" spans="7:13">
      <c r="G160" s="13">
        <v>44282</v>
      </c>
      <c r="I160" s="36"/>
      <c r="J160" s="36"/>
      <c r="K160" s="35"/>
      <c r="L160" s="35"/>
      <c r="M160" s="16"/>
    </row>
    <row r="161" spans="7:13">
      <c r="G161" s="13">
        <v>44283</v>
      </c>
      <c r="I161" s="36"/>
      <c r="J161" s="36"/>
      <c r="K161" s="35"/>
      <c r="L161" s="35"/>
      <c r="M161" s="16"/>
    </row>
    <row r="162" spans="7:13">
      <c r="G162" s="13">
        <v>44284</v>
      </c>
      <c r="H162" s="17">
        <v>1</v>
      </c>
      <c r="I162" s="21">
        <v>3</v>
      </c>
      <c r="J162" s="21">
        <v>1</v>
      </c>
      <c r="K162" s="18">
        <v>4</v>
      </c>
      <c r="L162" s="21">
        <v>5</v>
      </c>
      <c r="M162" s="23">
        <v>1</v>
      </c>
    </row>
    <row r="163" spans="7:13">
      <c r="G163" s="13">
        <v>44285</v>
      </c>
      <c r="H163" s="18"/>
      <c r="I163" s="21">
        <v>4</v>
      </c>
      <c r="J163" s="21">
        <v>2</v>
      </c>
      <c r="K163" s="21">
        <v>5</v>
      </c>
      <c r="L163" s="23">
        <v>1</v>
      </c>
      <c r="M163" s="24">
        <v>2</v>
      </c>
    </row>
    <row r="164" spans="7:13">
      <c r="G164" s="13">
        <v>44286</v>
      </c>
      <c r="H164" s="18"/>
      <c r="I164" s="21"/>
      <c r="J164" s="21"/>
      <c r="K164" s="23">
        <v>1</v>
      </c>
      <c r="L164" s="24">
        <v>2</v>
      </c>
      <c r="M164" s="24">
        <v>3</v>
      </c>
    </row>
    <row r="165" spans="7:13">
      <c r="G165" s="13">
        <v>44287</v>
      </c>
      <c r="H165" s="18"/>
      <c r="I165" s="21"/>
      <c r="J165" s="21"/>
      <c r="K165" s="24"/>
      <c r="L165" s="24">
        <v>3</v>
      </c>
      <c r="M165" s="24">
        <v>4</v>
      </c>
    </row>
    <row r="166" spans="7:13">
      <c r="G166" s="13">
        <v>44288</v>
      </c>
      <c r="H166" s="18"/>
      <c r="I166" s="21"/>
      <c r="J166" s="21"/>
      <c r="K166" s="24"/>
      <c r="L166" s="24"/>
      <c r="M166" s="25">
        <v>5</v>
      </c>
    </row>
    <row r="167" spans="7:13">
      <c r="G167" s="13">
        <v>44289</v>
      </c>
      <c r="H167" s="35"/>
      <c r="I167" s="36"/>
      <c r="J167" s="36"/>
      <c r="K167" s="35"/>
      <c r="L167" s="35"/>
      <c r="M167" s="16"/>
    </row>
    <row r="168" spans="7:13">
      <c r="G168" s="13">
        <v>44290</v>
      </c>
      <c r="H168" s="35"/>
      <c r="I168" s="36"/>
      <c r="J168" s="36"/>
      <c r="K168" s="35"/>
      <c r="L168" s="35"/>
      <c r="M168" s="16"/>
    </row>
    <row r="169" spans="7:13">
      <c r="G169" s="13">
        <v>44291</v>
      </c>
      <c r="H169" s="18">
        <v>2</v>
      </c>
      <c r="I169" s="22">
        <v>5</v>
      </c>
      <c r="J169" s="21">
        <v>3</v>
      </c>
      <c r="K169" s="24">
        <v>2</v>
      </c>
      <c r="L169" s="24">
        <v>4</v>
      </c>
      <c r="M169" s="26">
        <v>1</v>
      </c>
    </row>
    <row r="170" spans="7:13">
      <c r="G170" s="13">
        <v>44292</v>
      </c>
      <c r="H170" s="18"/>
      <c r="I170" s="23">
        <v>1</v>
      </c>
      <c r="J170" s="24">
        <v>4</v>
      </c>
      <c r="K170" s="24">
        <v>3</v>
      </c>
      <c r="L170" s="25">
        <v>5</v>
      </c>
      <c r="M170" s="27">
        <v>2</v>
      </c>
    </row>
    <row r="171" spans="7:13">
      <c r="G171" s="13">
        <v>44293</v>
      </c>
      <c r="H171" s="18"/>
      <c r="I171" s="24"/>
      <c r="J171" s="24">
        <v>5</v>
      </c>
      <c r="K171" s="24">
        <v>4</v>
      </c>
      <c r="L171" s="26">
        <v>1</v>
      </c>
      <c r="M171" s="27">
        <v>3</v>
      </c>
    </row>
    <row r="172" spans="7:13">
      <c r="G172" s="13">
        <v>44294</v>
      </c>
      <c r="H172" s="18"/>
      <c r="I172" s="24"/>
      <c r="J172" s="24"/>
      <c r="K172" s="24"/>
      <c r="L172" s="27">
        <v>2</v>
      </c>
      <c r="M172" s="27">
        <v>4</v>
      </c>
    </row>
    <row r="173" spans="7:13">
      <c r="G173" s="13">
        <v>44295</v>
      </c>
      <c r="H173" s="18"/>
      <c r="I173" s="24"/>
      <c r="J173" s="24"/>
      <c r="K173" s="24"/>
      <c r="L173" s="27"/>
      <c r="M173" s="28">
        <v>5</v>
      </c>
    </row>
    <row r="174" spans="7:13">
      <c r="G174" s="13">
        <v>44296</v>
      </c>
      <c r="H174" s="35"/>
      <c r="I174" s="35"/>
      <c r="J174" s="35"/>
      <c r="K174" s="35"/>
      <c r="L174" s="35"/>
      <c r="M174" s="16"/>
    </row>
    <row r="175" spans="7:13">
      <c r="G175" s="13">
        <v>44297</v>
      </c>
      <c r="H175" s="35"/>
      <c r="I175" s="35"/>
      <c r="J175" s="35"/>
      <c r="K175" s="35"/>
      <c r="L175" s="35"/>
      <c r="M175" s="16"/>
    </row>
    <row r="176" spans="7:13">
      <c r="G176" s="13">
        <v>44298</v>
      </c>
      <c r="H176" s="19">
        <v>3</v>
      </c>
      <c r="I176" s="24">
        <v>2</v>
      </c>
      <c r="J176" s="24">
        <v>1</v>
      </c>
      <c r="K176" s="25">
        <v>5</v>
      </c>
      <c r="L176" s="27">
        <v>3</v>
      </c>
      <c r="M176" s="29">
        <v>1</v>
      </c>
    </row>
    <row r="177" spans="7:13">
      <c r="G177" s="13">
        <v>44299</v>
      </c>
      <c r="I177" s="24">
        <v>3</v>
      </c>
      <c r="J177" s="24">
        <v>2</v>
      </c>
      <c r="K177" s="26">
        <v>1</v>
      </c>
      <c r="L177" s="27">
        <v>4</v>
      </c>
      <c r="M177" s="30">
        <v>2</v>
      </c>
    </row>
    <row r="178" spans="7:13">
      <c r="G178" s="13">
        <v>44300</v>
      </c>
      <c r="I178" s="24"/>
      <c r="J178" s="24"/>
      <c r="K178" s="27">
        <v>2</v>
      </c>
      <c r="L178" s="28">
        <v>5</v>
      </c>
      <c r="M178" s="30">
        <v>3</v>
      </c>
    </row>
    <row r="179" spans="7:13">
      <c r="G179" s="13">
        <v>44301</v>
      </c>
      <c r="I179" s="24"/>
      <c r="J179" s="24"/>
      <c r="K179" s="27"/>
      <c r="L179" s="29">
        <v>1</v>
      </c>
      <c r="M179" s="30">
        <v>4</v>
      </c>
    </row>
    <row r="180" spans="7:13">
      <c r="G180" s="13">
        <v>44302</v>
      </c>
      <c r="I180" s="24"/>
      <c r="J180" s="24"/>
      <c r="K180" s="27"/>
      <c r="L180" s="30"/>
      <c r="M180" s="31">
        <v>5</v>
      </c>
    </row>
    <row r="181" spans="7:13">
      <c r="G181" s="13">
        <v>44303</v>
      </c>
      <c r="I181" s="35"/>
      <c r="J181" s="35"/>
      <c r="K181" s="35"/>
      <c r="L181" s="35"/>
      <c r="M181" s="16"/>
    </row>
    <row r="182" spans="7:13">
      <c r="G182" s="13">
        <v>44304</v>
      </c>
      <c r="I182" s="35"/>
      <c r="J182" s="35"/>
      <c r="K182" s="35"/>
      <c r="L182" s="35"/>
      <c r="M182" s="16"/>
    </row>
    <row r="183" spans="7:13">
      <c r="G183" s="13">
        <v>44305</v>
      </c>
      <c r="H183" s="17">
        <v>1</v>
      </c>
      <c r="I183" s="24">
        <v>4</v>
      </c>
      <c r="J183" s="24">
        <v>3</v>
      </c>
      <c r="K183" s="27">
        <v>3</v>
      </c>
      <c r="L183" s="30">
        <v>2</v>
      </c>
      <c r="M183" s="32">
        <v>1</v>
      </c>
    </row>
    <row r="184" spans="7:13">
      <c r="G184" s="13">
        <v>44306</v>
      </c>
      <c r="H184" s="18"/>
      <c r="I184" s="25">
        <v>5</v>
      </c>
      <c r="J184" s="24">
        <v>4</v>
      </c>
      <c r="K184" s="27">
        <v>4</v>
      </c>
      <c r="L184" s="30">
        <v>3</v>
      </c>
      <c r="M184" s="33">
        <v>2</v>
      </c>
    </row>
    <row r="185" spans="7:13">
      <c r="G185" s="13">
        <v>44307</v>
      </c>
      <c r="H185" s="18"/>
      <c r="J185" s="5">
        <v>5</v>
      </c>
      <c r="K185" s="28">
        <v>5</v>
      </c>
      <c r="L185" s="30">
        <v>4</v>
      </c>
      <c r="M185" s="33">
        <v>3</v>
      </c>
    </row>
    <row r="186" spans="7:13">
      <c r="G186" s="13">
        <v>44308</v>
      </c>
      <c r="H186" s="18"/>
      <c r="L186" s="30">
        <v>5</v>
      </c>
      <c r="M186" s="33">
        <v>4</v>
      </c>
    </row>
    <row r="187" spans="7:13">
      <c r="G187" s="13">
        <v>44309</v>
      </c>
      <c r="H187" s="18"/>
      <c r="L187" s="31"/>
      <c r="M187" s="34">
        <v>5</v>
      </c>
    </row>
    <row r="188" spans="7:13">
      <c r="G188" s="13">
        <v>44310</v>
      </c>
      <c r="H188" s="35"/>
    </row>
    <row r="189" spans="7:13">
      <c r="G189" s="13">
        <v>44311</v>
      </c>
      <c r="H189" s="35"/>
    </row>
    <row r="190" spans="7:13">
      <c r="G190" s="13">
        <v>44312</v>
      </c>
      <c r="H190" s="18">
        <v>2</v>
      </c>
      <c r="I190" s="20">
        <v>1</v>
      </c>
      <c r="J190" s="20">
        <v>1</v>
      </c>
      <c r="K190" s="17">
        <v>1</v>
      </c>
      <c r="L190" s="17">
        <v>1</v>
      </c>
      <c r="M190" s="17">
        <v>1</v>
      </c>
    </row>
    <row r="191" spans="7:13">
      <c r="G191" s="13">
        <v>44313</v>
      </c>
      <c r="H191" s="18"/>
      <c r="I191" s="21">
        <v>2</v>
      </c>
      <c r="J191" s="21">
        <v>2</v>
      </c>
      <c r="K191" s="18">
        <v>2</v>
      </c>
      <c r="L191" s="18">
        <v>2</v>
      </c>
      <c r="M191" s="18">
        <v>2</v>
      </c>
    </row>
    <row r="192" spans="7:13">
      <c r="G192" s="13">
        <v>44314</v>
      </c>
      <c r="H192" s="18"/>
      <c r="I192" s="21"/>
      <c r="J192" s="21"/>
      <c r="K192" s="18">
        <v>3</v>
      </c>
      <c r="L192" s="18">
        <v>3</v>
      </c>
      <c r="M192" s="18">
        <v>3</v>
      </c>
    </row>
    <row r="193" spans="7:13">
      <c r="G193" s="13">
        <v>44315</v>
      </c>
      <c r="H193" s="18"/>
      <c r="I193" s="21"/>
      <c r="J193" s="21"/>
      <c r="K193" s="18"/>
      <c r="L193" s="18">
        <v>4</v>
      </c>
      <c r="M193" s="18">
        <v>4</v>
      </c>
    </row>
    <row r="194" spans="7:13">
      <c r="G194" s="13">
        <v>44316</v>
      </c>
      <c r="H194" s="18"/>
      <c r="I194" s="21"/>
      <c r="J194" s="21"/>
      <c r="K194" s="18"/>
      <c r="L194" s="18"/>
      <c r="M194" s="19">
        <v>5</v>
      </c>
    </row>
    <row r="195" spans="7:13">
      <c r="G195" s="13">
        <v>44317</v>
      </c>
      <c r="H195" s="35"/>
      <c r="I195" s="36"/>
      <c r="J195" s="36"/>
      <c r="K195" s="35"/>
      <c r="L195" s="35"/>
      <c r="M195" s="16"/>
    </row>
    <row r="196" spans="7:13">
      <c r="G196" s="13">
        <v>44318</v>
      </c>
      <c r="H196" s="35"/>
      <c r="I196" s="36"/>
      <c r="J196" s="36"/>
      <c r="K196" s="35"/>
      <c r="L196" s="35"/>
      <c r="M196" s="16"/>
    </row>
    <row r="197" spans="7:13">
      <c r="G197" s="13">
        <v>44319</v>
      </c>
      <c r="H197" s="19">
        <v>3</v>
      </c>
      <c r="I197" s="21">
        <v>3</v>
      </c>
      <c r="J197" s="21">
        <v>3</v>
      </c>
      <c r="K197" s="18">
        <v>4</v>
      </c>
      <c r="L197" s="21">
        <v>5</v>
      </c>
      <c r="M197" s="23">
        <v>1</v>
      </c>
    </row>
    <row r="198" spans="7:13">
      <c r="G198" s="13">
        <v>44320</v>
      </c>
      <c r="I198" s="21">
        <v>4</v>
      </c>
      <c r="J198" s="21">
        <v>4</v>
      </c>
      <c r="K198" s="21">
        <v>5</v>
      </c>
      <c r="L198" s="23">
        <v>1</v>
      </c>
      <c r="M198" s="24">
        <v>2</v>
      </c>
    </row>
    <row r="199" spans="7:13">
      <c r="G199" s="13">
        <v>44321</v>
      </c>
      <c r="I199" s="21"/>
      <c r="J199" s="21">
        <v>5</v>
      </c>
      <c r="K199" s="23">
        <v>1</v>
      </c>
      <c r="L199" s="24">
        <v>2</v>
      </c>
      <c r="M199" s="24">
        <v>3</v>
      </c>
    </row>
    <row r="200" spans="7:13">
      <c r="G200" s="13">
        <v>44322</v>
      </c>
      <c r="I200" s="21"/>
      <c r="J200" s="21"/>
      <c r="K200" s="24"/>
      <c r="L200" s="24">
        <v>3</v>
      </c>
      <c r="M200" s="24">
        <v>4</v>
      </c>
    </row>
    <row r="201" spans="7:13">
      <c r="G201" s="13">
        <v>44323</v>
      </c>
      <c r="I201" s="21"/>
      <c r="J201" s="21"/>
      <c r="K201" s="24"/>
      <c r="L201" s="24"/>
      <c r="M201" s="25">
        <v>5</v>
      </c>
    </row>
    <row r="202" spans="7:13">
      <c r="G202" s="13">
        <v>44324</v>
      </c>
      <c r="I202" s="36"/>
      <c r="J202" s="36"/>
      <c r="K202" s="35"/>
      <c r="L202" s="35"/>
      <c r="M202" s="16"/>
    </row>
    <row r="203" spans="7:13">
      <c r="G203" s="13">
        <v>44325</v>
      </c>
      <c r="I203" s="36"/>
      <c r="J203" s="36"/>
      <c r="K203" s="35"/>
      <c r="L203" s="35"/>
      <c r="M203" s="16"/>
    </row>
    <row r="204" spans="7:13">
      <c r="G204" s="13">
        <v>44326</v>
      </c>
      <c r="H204" s="17">
        <v>1</v>
      </c>
      <c r="I204" s="22">
        <v>5</v>
      </c>
      <c r="J204" s="21">
        <v>1</v>
      </c>
      <c r="K204" s="24">
        <v>2</v>
      </c>
      <c r="L204" s="24">
        <v>4</v>
      </c>
      <c r="M204" s="26">
        <v>1</v>
      </c>
    </row>
    <row r="205" spans="7:13">
      <c r="G205" s="13">
        <v>44327</v>
      </c>
      <c r="H205" s="18"/>
      <c r="I205" s="23">
        <v>1</v>
      </c>
      <c r="J205" s="24">
        <v>2</v>
      </c>
      <c r="K205" s="24">
        <v>3</v>
      </c>
      <c r="L205" s="25">
        <v>5</v>
      </c>
      <c r="M205" s="27">
        <v>2</v>
      </c>
    </row>
    <row r="206" spans="7:13">
      <c r="G206" s="13">
        <v>44328</v>
      </c>
      <c r="H206" s="18"/>
      <c r="I206" s="24"/>
      <c r="J206" s="24"/>
      <c r="K206" s="24">
        <v>4</v>
      </c>
      <c r="L206" s="26">
        <v>1</v>
      </c>
      <c r="M206" s="27">
        <v>3</v>
      </c>
    </row>
    <row r="207" spans="7:13">
      <c r="G207" s="13">
        <v>44329</v>
      </c>
      <c r="H207" s="18"/>
      <c r="I207" s="24"/>
      <c r="J207" s="24"/>
      <c r="K207" s="24"/>
      <c r="L207" s="27">
        <v>2</v>
      </c>
      <c r="M207" s="27">
        <v>4</v>
      </c>
    </row>
    <row r="208" spans="7:13">
      <c r="G208" s="13">
        <v>44330</v>
      </c>
      <c r="H208" s="18"/>
      <c r="I208" s="24"/>
      <c r="J208" s="24"/>
      <c r="K208" s="24"/>
      <c r="L208" s="27"/>
      <c r="M208" s="28">
        <v>5</v>
      </c>
    </row>
    <row r="209" spans="7:13">
      <c r="G209" s="13">
        <v>44331</v>
      </c>
      <c r="H209" s="35"/>
      <c r="I209" s="35"/>
      <c r="J209" s="35"/>
      <c r="K209" s="35"/>
      <c r="L209" s="35"/>
      <c r="M209" s="16"/>
    </row>
    <row r="210" spans="7:13">
      <c r="G210" s="13">
        <v>44332</v>
      </c>
      <c r="H210" s="35"/>
      <c r="I210" s="35"/>
      <c r="J210" s="35"/>
      <c r="K210" s="35"/>
      <c r="L210" s="35"/>
      <c r="M210" s="16"/>
    </row>
    <row r="211" spans="7:13">
      <c r="G211" s="13">
        <v>44333</v>
      </c>
      <c r="H211" s="18">
        <v>2</v>
      </c>
      <c r="I211" s="24">
        <v>2</v>
      </c>
      <c r="J211" s="24">
        <v>3</v>
      </c>
      <c r="K211" s="25">
        <v>5</v>
      </c>
      <c r="L211" s="27">
        <v>3</v>
      </c>
      <c r="M211" s="29">
        <v>1</v>
      </c>
    </row>
    <row r="212" spans="7:13">
      <c r="G212" s="13">
        <v>44334</v>
      </c>
      <c r="H212" s="18"/>
      <c r="I212" s="24">
        <v>3</v>
      </c>
      <c r="J212" s="24">
        <v>4</v>
      </c>
      <c r="K212" s="26">
        <v>1</v>
      </c>
      <c r="L212" s="27">
        <v>4</v>
      </c>
      <c r="M212" s="30">
        <v>2</v>
      </c>
    </row>
    <row r="213" spans="7:13">
      <c r="G213" s="13">
        <v>44335</v>
      </c>
      <c r="H213" s="18"/>
      <c r="I213" s="24"/>
      <c r="J213" s="24">
        <v>5</v>
      </c>
      <c r="K213" s="27">
        <v>2</v>
      </c>
      <c r="L213" s="28">
        <v>5</v>
      </c>
      <c r="M213" s="30">
        <v>3</v>
      </c>
    </row>
    <row r="214" spans="7:13">
      <c r="G214" s="13">
        <v>44336</v>
      </c>
      <c r="H214" s="18"/>
      <c r="I214" s="24"/>
      <c r="J214" s="24"/>
      <c r="K214" s="27"/>
      <c r="L214" s="29">
        <v>1</v>
      </c>
      <c r="M214" s="30">
        <v>4</v>
      </c>
    </row>
    <row r="215" spans="7:13">
      <c r="G215" s="13">
        <v>44337</v>
      </c>
      <c r="H215" s="18"/>
      <c r="I215" s="24"/>
      <c r="J215" s="24"/>
      <c r="K215" s="27"/>
      <c r="L215" s="30"/>
      <c r="M215" s="31">
        <v>5</v>
      </c>
    </row>
    <row r="216" spans="7:13">
      <c r="G216" s="13">
        <v>44338</v>
      </c>
      <c r="H216" s="35"/>
      <c r="I216" s="35"/>
      <c r="J216" s="35"/>
      <c r="K216" s="35"/>
      <c r="L216" s="35"/>
      <c r="M216" s="16"/>
    </row>
    <row r="217" spans="7:13">
      <c r="G217" s="13">
        <v>44339</v>
      </c>
      <c r="H217" s="35"/>
      <c r="I217" s="35"/>
      <c r="J217" s="35"/>
      <c r="K217" s="35"/>
      <c r="L217" s="35"/>
      <c r="M217" s="16"/>
    </row>
    <row r="218" spans="7:13">
      <c r="G218" s="13">
        <v>44340</v>
      </c>
      <c r="H218" s="19">
        <v>3</v>
      </c>
      <c r="I218" s="24">
        <v>4</v>
      </c>
      <c r="J218" s="24">
        <v>1</v>
      </c>
      <c r="K218" s="27">
        <v>3</v>
      </c>
      <c r="L218" s="30">
        <v>2</v>
      </c>
      <c r="M218" s="32">
        <v>1</v>
      </c>
    </row>
    <row r="219" spans="7:13">
      <c r="G219" s="13">
        <v>44341</v>
      </c>
      <c r="I219" s="25">
        <v>5</v>
      </c>
      <c r="J219" s="24">
        <v>2</v>
      </c>
      <c r="K219" s="27">
        <v>4</v>
      </c>
      <c r="L219" s="30">
        <v>3</v>
      </c>
      <c r="M219" s="33">
        <v>2</v>
      </c>
    </row>
    <row r="220" spans="7:13">
      <c r="G220" s="13">
        <v>44342</v>
      </c>
      <c r="K220" s="28">
        <v>5</v>
      </c>
      <c r="L220" s="30">
        <v>4</v>
      </c>
      <c r="M220" s="33">
        <v>3</v>
      </c>
    </row>
    <row r="221" spans="7:13">
      <c r="G221" s="13">
        <v>44343</v>
      </c>
      <c r="L221" s="30">
        <v>5</v>
      </c>
      <c r="M221" s="33">
        <v>4</v>
      </c>
    </row>
    <row r="222" spans="7:13">
      <c r="G222" s="13">
        <v>44344</v>
      </c>
      <c r="L222" s="31"/>
      <c r="M222" s="34">
        <v>5</v>
      </c>
    </row>
    <row r="223" spans="7:13">
      <c r="G223" s="13">
        <v>44345</v>
      </c>
    </row>
    <row r="224" spans="7:13">
      <c r="G224" s="13">
        <v>44346</v>
      </c>
    </row>
    <row r="225" spans="7:13">
      <c r="G225" s="13">
        <v>44347</v>
      </c>
      <c r="H225" s="17">
        <v>1</v>
      </c>
      <c r="I225" s="20">
        <v>1</v>
      </c>
      <c r="J225" s="20">
        <v>3</v>
      </c>
      <c r="K225" s="17">
        <v>1</v>
      </c>
      <c r="L225" s="17">
        <v>1</v>
      </c>
      <c r="M225" s="17">
        <v>1</v>
      </c>
    </row>
    <row r="226" spans="7:13">
      <c r="G226" s="13">
        <v>44348</v>
      </c>
      <c r="H226" s="18"/>
      <c r="I226" s="21">
        <v>2</v>
      </c>
      <c r="J226" s="21">
        <v>4</v>
      </c>
      <c r="K226" s="18">
        <v>2</v>
      </c>
      <c r="L226" s="18">
        <v>2</v>
      </c>
      <c r="M226" s="18">
        <v>2</v>
      </c>
    </row>
    <row r="227" spans="7:13">
      <c r="G227" s="13">
        <v>44349</v>
      </c>
      <c r="H227" s="18"/>
      <c r="I227" s="21"/>
      <c r="J227" s="21">
        <v>5</v>
      </c>
      <c r="K227" s="18">
        <v>3</v>
      </c>
      <c r="L227" s="18">
        <v>3</v>
      </c>
      <c r="M227" s="18">
        <v>3</v>
      </c>
    </row>
    <row r="228" spans="7:13">
      <c r="G228" s="13">
        <v>44350</v>
      </c>
      <c r="H228" s="18"/>
      <c r="I228" s="21"/>
      <c r="J228" s="21"/>
      <c r="K228" s="18"/>
      <c r="L228" s="18">
        <v>4</v>
      </c>
      <c r="M228" s="18">
        <v>4</v>
      </c>
    </row>
    <row r="229" spans="7:13">
      <c r="G229" s="13">
        <v>44351</v>
      </c>
      <c r="H229" s="18"/>
      <c r="I229" s="21"/>
      <c r="J229" s="21"/>
      <c r="K229" s="18"/>
      <c r="L229" s="18"/>
      <c r="M229" s="19">
        <v>5</v>
      </c>
    </row>
    <row r="230" spans="7:13">
      <c r="G230" s="13">
        <v>44352</v>
      </c>
      <c r="H230" s="35"/>
      <c r="I230" s="36"/>
      <c r="J230" s="36"/>
      <c r="K230" s="35"/>
      <c r="L230" s="35"/>
      <c r="M230" s="16"/>
    </row>
    <row r="231" spans="7:13">
      <c r="G231" s="13">
        <v>44353</v>
      </c>
      <c r="H231" s="35"/>
      <c r="I231" s="36"/>
      <c r="J231" s="36"/>
      <c r="K231" s="35"/>
      <c r="L231" s="35"/>
      <c r="M231" s="16"/>
    </row>
    <row r="232" spans="7:13">
      <c r="G232" s="13">
        <v>44354</v>
      </c>
      <c r="H232" s="18">
        <v>2</v>
      </c>
      <c r="I232" s="21">
        <v>3</v>
      </c>
      <c r="J232" s="21">
        <v>1</v>
      </c>
      <c r="K232" s="18">
        <v>4</v>
      </c>
      <c r="L232" s="21">
        <v>5</v>
      </c>
      <c r="M232" s="23">
        <v>1</v>
      </c>
    </row>
    <row r="233" spans="7:13">
      <c r="G233" s="13">
        <v>44355</v>
      </c>
      <c r="H233" s="18"/>
      <c r="I233" s="21">
        <v>4</v>
      </c>
      <c r="J233" s="21">
        <v>2</v>
      </c>
      <c r="K233" s="21">
        <v>5</v>
      </c>
      <c r="L233" s="23">
        <v>1</v>
      </c>
      <c r="M233" s="24">
        <v>2</v>
      </c>
    </row>
    <row r="234" spans="7:13">
      <c r="G234" s="13">
        <v>44356</v>
      </c>
      <c r="H234" s="18"/>
      <c r="I234" s="21"/>
      <c r="J234" s="21"/>
      <c r="K234" s="23">
        <v>1</v>
      </c>
      <c r="L234" s="24">
        <v>2</v>
      </c>
      <c r="M234" s="24">
        <v>3</v>
      </c>
    </row>
    <row r="235" spans="7:13">
      <c r="G235" s="13">
        <v>44357</v>
      </c>
      <c r="H235" s="18"/>
      <c r="I235" s="21"/>
      <c r="J235" s="21"/>
      <c r="K235" s="24"/>
      <c r="L235" s="24">
        <v>3</v>
      </c>
      <c r="M235" s="24">
        <v>4</v>
      </c>
    </row>
    <row r="236" spans="7:13">
      <c r="G236" s="13">
        <v>44358</v>
      </c>
      <c r="H236" s="18"/>
      <c r="I236" s="21"/>
      <c r="J236" s="21"/>
      <c r="K236" s="24"/>
      <c r="L236" s="24"/>
      <c r="M236" s="25">
        <v>5</v>
      </c>
    </row>
    <row r="237" spans="7:13">
      <c r="G237" s="13">
        <v>44359</v>
      </c>
      <c r="H237" s="35"/>
      <c r="I237" s="36"/>
      <c r="J237" s="36"/>
      <c r="K237" s="35"/>
      <c r="L237" s="35"/>
      <c r="M237" s="16"/>
    </row>
    <row r="238" spans="7:13">
      <c r="G238" s="13">
        <v>44360</v>
      </c>
      <c r="H238" s="35"/>
      <c r="I238" s="36"/>
      <c r="J238" s="36"/>
      <c r="K238" s="35"/>
      <c r="L238" s="35"/>
      <c r="M238" s="16"/>
    </row>
    <row r="239" spans="7:13">
      <c r="G239" s="13">
        <v>44361</v>
      </c>
      <c r="H239" s="19">
        <v>3</v>
      </c>
      <c r="I239" s="22">
        <v>5</v>
      </c>
      <c r="J239" s="21">
        <v>3</v>
      </c>
      <c r="K239" s="24">
        <v>2</v>
      </c>
      <c r="L239" s="24">
        <v>4</v>
      </c>
      <c r="M239" s="26">
        <v>1</v>
      </c>
    </row>
    <row r="240" spans="7:13">
      <c r="G240" s="13">
        <v>44362</v>
      </c>
      <c r="I240" s="23">
        <v>1</v>
      </c>
      <c r="J240" s="24">
        <v>4</v>
      </c>
      <c r="K240" s="24">
        <v>3</v>
      </c>
      <c r="L240" s="25">
        <v>5</v>
      </c>
      <c r="M240" s="27">
        <v>2</v>
      </c>
    </row>
    <row r="241" spans="7:13">
      <c r="G241" s="13">
        <v>44363</v>
      </c>
      <c r="I241" s="24"/>
      <c r="J241" s="24">
        <v>5</v>
      </c>
      <c r="K241" s="24">
        <v>4</v>
      </c>
      <c r="L241" s="26">
        <v>1</v>
      </c>
      <c r="M241" s="27">
        <v>3</v>
      </c>
    </row>
    <row r="242" spans="7:13">
      <c r="G242" s="13">
        <v>44364</v>
      </c>
      <c r="I242" s="24"/>
      <c r="J242" s="24"/>
      <c r="K242" s="24"/>
      <c r="L242" s="27">
        <v>2</v>
      </c>
      <c r="M242" s="27">
        <v>4</v>
      </c>
    </row>
    <row r="243" spans="7:13">
      <c r="G243" s="13">
        <v>44365</v>
      </c>
      <c r="I243" s="24"/>
      <c r="J243" s="24"/>
      <c r="K243" s="24"/>
      <c r="L243" s="27"/>
      <c r="M243" s="28">
        <v>5</v>
      </c>
    </row>
    <row r="244" spans="7:13">
      <c r="G244" s="13">
        <v>44366</v>
      </c>
      <c r="I244" s="35"/>
      <c r="J244" s="35"/>
      <c r="K244" s="35"/>
      <c r="L244" s="35"/>
      <c r="M244" s="16"/>
    </row>
    <row r="245" spans="7:13">
      <c r="G245" s="13">
        <v>44367</v>
      </c>
      <c r="I245" s="35"/>
      <c r="J245" s="35"/>
      <c r="K245" s="35"/>
      <c r="L245" s="35"/>
      <c r="M245" s="16"/>
    </row>
    <row r="246" spans="7:13">
      <c r="G246" s="13">
        <v>44368</v>
      </c>
      <c r="H246" s="17">
        <v>1</v>
      </c>
      <c r="I246" s="24">
        <v>2</v>
      </c>
      <c r="J246" s="24">
        <v>1</v>
      </c>
      <c r="K246" s="25">
        <v>5</v>
      </c>
      <c r="L246" s="27">
        <v>3</v>
      </c>
      <c r="M246" s="29">
        <v>1</v>
      </c>
    </row>
    <row r="247" spans="7:13">
      <c r="G247" s="13">
        <v>44369</v>
      </c>
      <c r="H247" s="18"/>
      <c r="I247" s="24">
        <v>3</v>
      </c>
      <c r="J247" s="24">
        <v>2</v>
      </c>
      <c r="K247" s="26">
        <v>1</v>
      </c>
      <c r="L247" s="27">
        <v>4</v>
      </c>
      <c r="M247" s="30">
        <v>2</v>
      </c>
    </row>
    <row r="248" spans="7:13">
      <c r="G248" s="13">
        <v>44370</v>
      </c>
      <c r="H248" s="18"/>
      <c r="I248" s="24"/>
      <c r="J248" s="24"/>
      <c r="K248" s="27">
        <v>2</v>
      </c>
      <c r="L248" s="28">
        <v>5</v>
      </c>
      <c r="M248" s="30">
        <v>3</v>
      </c>
    </row>
    <row r="249" spans="7:13">
      <c r="G249" s="13">
        <v>44371</v>
      </c>
      <c r="H249" s="18"/>
      <c r="I249" s="24"/>
      <c r="J249" s="24"/>
      <c r="K249" s="27"/>
      <c r="L249" s="29">
        <v>1</v>
      </c>
      <c r="M249" s="30">
        <v>4</v>
      </c>
    </row>
    <row r="250" spans="7:13">
      <c r="G250" s="13">
        <v>44372</v>
      </c>
      <c r="H250" s="18"/>
      <c r="I250" s="24"/>
      <c r="J250" s="24"/>
      <c r="K250" s="27"/>
      <c r="L250" s="30"/>
      <c r="M250" s="31">
        <v>5</v>
      </c>
    </row>
    <row r="251" spans="7:13">
      <c r="G251" s="13">
        <v>44373</v>
      </c>
      <c r="H251" s="35"/>
      <c r="I251" s="35"/>
      <c r="J251" s="35"/>
      <c r="K251" s="35"/>
      <c r="L251" s="35"/>
      <c r="M251" s="16"/>
    </row>
    <row r="252" spans="7:13">
      <c r="G252" s="13">
        <v>44374</v>
      </c>
      <c r="H252" s="35"/>
      <c r="I252" s="35"/>
      <c r="J252" s="35"/>
      <c r="K252" s="35"/>
      <c r="L252" s="35"/>
      <c r="M252" s="16"/>
    </row>
    <row r="253" spans="7:13">
      <c r="G253" s="13">
        <v>44375</v>
      </c>
      <c r="H253" s="18">
        <v>2</v>
      </c>
      <c r="I253" s="24">
        <v>4</v>
      </c>
      <c r="J253" s="24">
        <v>3</v>
      </c>
      <c r="K253" s="27">
        <v>3</v>
      </c>
      <c r="L253" s="30">
        <v>2</v>
      </c>
      <c r="M253" s="32">
        <v>1</v>
      </c>
    </row>
    <row r="254" spans="7:13">
      <c r="G254" s="13">
        <v>44376</v>
      </c>
      <c r="H254" s="18"/>
      <c r="I254" s="25">
        <v>5</v>
      </c>
      <c r="J254" s="24">
        <v>4</v>
      </c>
      <c r="K254" s="27">
        <v>4</v>
      </c>
      <c r="L254" s="30">
        <v>3</v>
      </c>
      <c r="M254" s="33">
        <v>2</v>
      </c>
    </row>
    <row r="255" spans="7:13">
      <c r="G255" s="13">
        <v>44377</v>
      </c>
      <c r="H255" s="18"/>
      <c r="J255" s="5">
        <v>5</v>
      </c>
      <c r="K255" s="28">
        <v>5</v>
      </c>
      <c r="L255" s="30">
        <v>4</v>
      </c>
      <c r="M255" s="33">
        <v>3</v>
      </c>
    </row>
    <row r="256" spans="7:13">
      <c r="G256" s="13">
        <v>44378</v>
      </c>
      <c r="H256" s="18"/>
      <c r="L256" s="30">
        <v>5</v>
      </c>
      <c r="M256" s="33">
        <v>4</v>
      </c>
    </row>
    <row r="257" spans="7:13">
      <c r="G257" s="13">
        <v>44379</v>
      </c>
      <c r="H257" s="18"/>
      <c r="L257" s="31"/>
      <c r="M257" s="34">
        <v>5</v>
      </c>
    </row>
    <row r="258" spans="7:13">
      <c r="G258" s="13">
        <v>44380</v>
      </c>
      <c r="H258" s="35"/>
    </row>
    <row r="259" spans="7:13">
      <c r="G259" s="13">
        <v>44381</v>
      </c>
      <c r="H259" s="35"/>
    </row>
    <row r="260" spans="7:13">
      <c r="G260" s="13">
        <v>44382</v>
      </c>
      <c r="H260" s="19">
        <v>3</v>
      </c>
      <c r="I260" s="20">
        <v>1</v>
      </c>
      <c r="J260" s="20">
        <v>1</v>
      </c>
      <c r="K260" s="17">
        <v>1</v>
      </c>
      <c r="L260" s="17">
        <v>1</v>
      </c>
      <c r="M260" s="17">
        <v>1</v>
      </c>
    </row>
    <row r="261" spans="7:13">
      <c r="G261" s="13">
        <v>44383</v>
      </c>
      <c r="I261" s="21">
        <v>2</v>
      </c>
      <c r="J261" s="21">
        <v>2</v>
      </c>
      <c r="K261" s="18">
        <v>2</v>
      </c>
      <c r="L261" s="18">
        <v>2</v>
      </c>
      <c r="M261" s="18">
        <v>2</v>
      </c>
    </row>
    <row r="262" spans="7:13">
      <c r="G262" s="13">
        <v>44384</v>
      </c>
      <c r="I262" s="21"/>
      <c r="J262" s="21"/>
      <c r="K262" s="18">
        <v>3</v>
      </c>
      <c r="L262" s="18">
        <v>3</v>
      </c>
      <c r="M262" s="18">
        <v>3</v>
      </c>
    </row>
    <row r="263" spans="7:13">
      <c r="G263" s="13">
        <v>44385</v>
      </c>
      <c r="I263" s="21"/>
      <c r="J263" s="21"/>
      <c r="K263" s="18"/>
      <c r="L263" s="18">
        <v>4</v>
      </c>
      <c r="M263" s="18">
        <v>4</v>
      </c>
    </row>
    <row r="264" spans="7:13">
      <c r="G264" s="13">
        <v>44386</v>
      </c>
      <c r="I264" s="21"/>
      <c r="J264" s="21"/>
      <c r="K264" s="18"/>
      <c r="L264" s="18"/>
      <c r="M264" s="19">
        <v>5</v>
      </c>
    </row>
    <row r="265" spans="7:13">
      <c r="G265" s="13">
        <v>44387</v>
      </c>
      <c r="I265" s="36"/>
      <c r="J265" s="36"/>
      <c r="K265" s="35"/>
      <c r="L265" s="35"/>
      <c r="M265" s="16"/>
    </row>
    <row r="266" spans="7:13">
      <c r="G266" s="13">
        <v>44388</v>
      </c>
      <c r="I266" s="36"/>
      <c r="J266" s="36"/>
      <c r="K266" s="35"/>
      <c r="L266" s="35"/>
      <c r="M266" s="16"/>
    </row>
    <row r="267" spans="7:13">
      <c r="G267" s="13">
        <v>44389</v>
      </c>
      <c r="H267" s="17">
        <v>1</v>
      </c>
      <c r="I267" s="21">
        <v>3</v>
      </c>
      <c r="J267" s="21">
        <v>3</v>
      </c>
      <c r="K267" s="18">
        <v>4</v>
      </c>
      <c r="L267" s="21">
        <v>5</v>
      </c>
      <c r="M267" s="23">
        <v>1</v>
      </c>
    </row>
    <row r="268" spans="7:13">
      <c r="G268" s="13">
        <v>44390</v>
      </c>
      <c r="H268" s="18"/>
      <c r="I268" s="21">
        <v>4</v>
      </c>
      <c r="J268" s="21">
        <v>4</v>
      </c>
      <c r="K268" s="21">
        <v>5</v>
      </c>
      <c r="L268" s="23">
        <v>1</v>
      </c>
      <c r="M268" s="24">
        <v>2</v>
      </c>
    </row>
    <row r="269" spans="7:13">
      <c r="G269" s="13">
        <v>44391</v>
      </c>
      <c r="H269" s="18"/>
      <c r="I269" s="21"/>
      <c r="J269" s="21">
        <v>5</v>
      </c>
      <c r="K269" s="23">
        <v>1</v>
      </c>
      <c r="L269" s="24">
        <v>2</v>
      </c>
      <c r="M269" s="24">
        <v>3</v>
      </c>
    </row>
    <row r="270" spans="7:13">
      <c r="G270" s="13">
        <v>44392</v>
      </c>
      <c r="H270" s="18"/>
      <c r="I270" s="21"/>
      <c r="J270" s="21"/>
      <c r="K270" s="24"/>
      <c r="L270" s="24">
        <v>3</v>
      </c>
      <c r="M270" s="24">
        <v>4</v>
      </c>
    </row>
    <row r="271" spans="7:13">
      <c r="G271" s="13">
        <v>44393</v>
      </c>
      <c r="H271" s="18"/>
      <c r="I271" s="21"/>
      <c r="J271" s="21"/>
      <c r="K271" s="24"/>
      <c r="L271" s="24"/>
      <c r="M271" s="25">
        <v>5</v>
      </c>
    </row>
    <row r="272" spans="7:13">
      <c r="G272" s="13">
        <v>44394</v>
      </c>
      <c r="H272" s="35"/>
      <c r="I272" s="36"/>
      <c r="J272" s="36"/>
      <c r="K272" s="35"/>
      <c r="L272" s="35"/>
      <c r="M272" s="16"/>
    </row>
    <row r="273" spans="7:13">
      <c r="G273" s="13">
        <v>44395</v>
      </c>
      <c r="H273" s="35"/>
      <c r="I273" s="36"/>
      <c r="J273" s="36"/>
      <c r="K273" s="35"/>
      <c r="L273" s="35"/>
      <c r="M273" s="16"/>
    </row>
    <row r="274" spans="7:13">
      <c r="G274" s="13">
        <v>44396</v>
      </c>
      <c r="H274" s="18">
        <v>2</v>
      </c>
      <c r="I274" s="22">
        <v>5</v>
      </c>
      <c r="J274" s="21">
        <v>1</v>
      </c>
      <c r="K274" s="24">
        <v>2</v>
      </c>
      <c r="L274" s="24">
        <v>4</v>
      </c>
      <c r="M274" s="26">
        <v>1</v>
      </c>
    </row>
    <row r="275" spans="7:13">
      <c r="G275" s="13">
        <v>44397</v>
      </c>
      <c r="H275" s="18"/>
      <c r="I275" s="23">
        <v>1</v>
      </c>
      <c r="J275" s="24">
        <v>2</v>
      </c>
      <c r="K275" s="24">
        <v>3</v>
      </c>
      <c r="L275" s="25">
        <v>5</v>
      </c>
      <c r="M275" s="27">
        <v>2</v>
      </c>
    </row>
    <row r="276" spans="7:13">
      <c r="G276" s="13">
        <v>44398</v>
      </c>
      <c r="H276" s="18"/>
      <c r="I276" s="24"/>
      <c r="J276" s="24"/>
      <c r="K276" s="24">
        <v>4</v>
      </c>
      <c r="L276" s="26">
        <v>1</v>
      </c>
      <c r="M276" s="27">
        <v>3</v>
      </c>
    </row>
    <row r="277" spans="7:13">
      <c r="G277" s="13">
        <v>44399</v>
      </c>
      <c r="H277" s="18"/>
      <c r="I277" s="24"/>
      <c r="J277" s="24"/>
      <c r="K277" s="24"/>
      <c r="L277" s="27">
        <v>2</v>
      </c>
      <c r="M277" s="27">
        <v>4</v>
      </c>
    </row>
    <row r="278" spans="7:13">
      <c r="G278" s="13">
        <v>44400</v>
      </c>
      <c r="H278" s="18"/>
      <c r="I278" s="24"/>
      <c r="J278" s="24"/>
      <c r="K278" s="24"/>
      <c r="L278" s="27"/>
      <c r="M278" s="28">
        <v>5</v>
      </c>
    </row>
    <row r="279" spans="7:13">
      <c r="G279" s="13">
        <v>44401</v>
      </c>
      <c r="H279" s="35"/>
      <c r="I279" s="35"/>
      <c r="J279" s="35"/>
      <c r="K279" s="35"/>
      <c r="L279" s="35"/>
      <c r="M279" s="16"/>
    </row>
    <row r="280" spans="7:13">
      <c r="G280" s="13">
        <v>44402</v>
      </c>
      <c r="H280" s="35"/>
      <c r="I280" s="35"/>
      <c r="J280" s="35"/>
      <c r="K280" s="35"/>
      <c r="L280" s="35"/>
      <c r="M280" s="16"/>
    </row>
    <row r="281" spans="7:13">
      <c r="G281" s="13">
        <v>44403</v>
      </c>
      <c r="H281" s="19">
        <v>3</v>
      </c>
      <c r="I281" s="24">
        <v>2</v>
      </c>
      <c r="J281" s="24">
        <v>3</v>
      </c>
      <c r="K281" s="25">
        <v>5</v>
      </c>
      <c r="L281" s="27">
        <v>3</v>
      </c>
      <c r="M281" s="29">
        <v>1</v>
      </c>
    </row>
    <row r="282" spans="7:13">
      <c r="G282" s="13">
        <v>44404</v>
      </c>
      <c r="I282" s="24">
        <v>3</v>
      </c>
      <c r="J282" s="24">
        <v>4</v>
      </c>
      <c r="K282" s="26">
        <v>1</v>
      </c>
      <c r="L282" s="27">
        <v>4</v>
      </c>
      <c r="M282" s="30">
        <v>2</v>
      </c>
    </row>
    <row r="283" spans="7:13">
      <c r="G283" s="13">
        <v>44405</v>
      </c>
      <c r="I283" s="24"/>
      <c r="J283" s="24">
        <v>5</v>
      </c>
      <c r="K283" s="27">
        <v>2</v>
      </c>
      <c r="L283" s="28">
        <v>5</v>
      </c>
      <c r="M283" s="30">
        <v>3</v>
      </c>
    </row>
    <row r="284" spans="7:13">
      <c r="G284" s="13">
        <v>44406</v>
      </c>
      <c r="I284" s="24"/>
      <c r="J284" s="24"/>
      <c r="K284" s="27"/>
      <c r="L284" s="29">
        <v>1</v>
      </c>
      <c r="M284" s="30">
        <v>4</v>
      </c>
    </row>
    <row r="285" spans="7:13">
      <c r="G285" s="13">
        <v>44407</v>
      </c>
      <c r="I285" s="24"/>
      <c r="J285" s="24"/>
      <c r="K285" s="27"/>
      <c r="L285" s="30"/>
      <c r="M285" s="31">
        <v>5</v>
      </c>
    </row>
    <row r="286" spans="7:13">
      <c r="G286" s="13">
        <v>44408</v>
      </c>
      <c r="I286" s="35"/>
      <c r="J286" s="35"/>
      <c r="K286" s="35"/>
      <c r="L286" s="35"/>
      <c r="M286" s="16"/>
    </row>
    <row r="287" spans="7:13">
      <c r="G287" s="13">
        <v>44409</v>
      </c>
      <c r="I287" s="35"/>
      <c r="J287" s="35"/>
      <c r="K287" s="35"/>
      <c r="L287" s="35"/>
      <c r="M287" s="16"/>
    </row>
    <row r="288" spans="7:13">
      <c r="G288" s="13">
        <v>44410</v>
      </c>
      <c r="H288" s="17">
        <v>1</v>
      </c>
      <c r="I288" s="24">
        <v>4</v>
      </c>
      <c r="J288" s="24">
        <v>1</v>
      </c>
      <c r="K288" s="27">
        <v>3</v>
      </c>
      <c r="L288" s="30">
        <v>2</v>
      </c>
      <c r="M288" s="32">
        <v>1</v>
      </c>
    </row>
    <row r="289" spans="7:13">
      <c r="G289" s="13">
        <v>44411</v>
      </c>
      <c r="H289" s="18"/>
      <c r="I289" s="25">
        <v>5</v>
      </c>
      <c r="J289" s="24">
        <v>2</v>
      </c>
      <c r="K289" s="27">
        <v>4</v>
      </c>
      <c r="L289" s="30">
        <v>3</v>
      </c>
      <c r="M289" s="33">
        <v>2</v>
      </c>
    </row>
    <row r="290" spans="7:13">
      <c r="G290" s="13">
        <v>44412</v>
      </c>
      <c r="H290" s="18"/>
      <c r="K290" s="28">
        <v>5</v>
      </c>
      <c r="L290" s="30">
        <v>4</v>
      </c>
      <c r="M290" s="33">
        <v>3</v>
      </c>
    </row>
    <row r="291" spans="7:13">
      <c r="G291" s="13">
        <v>44413</v>
      </c>
      <c r="H291" s="18"/>
      <c r="L291" s="30">
        <v>5</v>
      </c>
      <c r="M291" s="33">
        <v>4</v>
      </c>
    </row>
    <row r="292" spans="7:13">
      <c r="G292" s="13">
        <v>44414</v>
      </c>
      <c r="H292" s="18"/>
      <c r="L292" s="31"/>
      <c r="M292" s="34">
        <v>5</v>
      </c>
    </row>
    <row r="293" spans="7:13">
      <c r="G293" s="13">
        <v>44415</v>
      </c>
      <c r="H293" s="35"/>
    </row>
    <row r="294" spans="7:13">
      <c r="G294" s="13">
        <v>44416</v>
      </c>
      <c r="H294" s="35"/>
    </row>
    <row r="295" spans="7:13">
      <c r="G295" s="13">
        <v>44417</v>
      </c>
      <c r="H295" s="18">
        <v>2</v>
      </c>
      <c r="I295" s="20">
        <v>1</v>
      </c>
      <c r="J295" s="20">
        <v>3</v>
      </c>
      <c r="K295" s="17">
        <v>1</v>
      </c>
      <c r="L295" s="17">
        <v>1</v>
      </c>
      <c r="M295" s="17">
        <v>1</v>
      </c>
    </row>
    <row r="296" spans="7:13">
      <c r="G296" s="13">
        <v>44418</v>
      </c>
      <c r="H296" s="18"/>
      <c r="I296" s="21">
        <v>2</v>
      </c>
      <c r="J296" s="21">
        <v>4</v>
      </c>
      <c r="K296" s="18">
        <v>2</v>
      </c>
      <c r="L296" s="18">
        <v>2</v>
      </c>
      <c r="M296" s="18">
        <v>2</v>
      </c>
    </row>
    <row r="297" spans="7:13">
      <c r="G297" s="13">
        <v>44419</v>
      </c>
      <c r="H297" s="18"/>
      <c r="I297" s="21"/>
      <c r="J297" s="21">
        <v>5</v>
      </c>
      <c r="K297" s="18">
        <v>3</v>
      </c>
      <c r="L297" s="18">
        <v>3</v>
      </c>
      <c r="M297" s="18">
        <v>3</v>
      </c>
    </row>
    <row r="298" spans="7:13">
      <c r="G298" s="13">
        <v>44420</v>
      </c>
      <c r="H298" s="18"/>
      <c r="I298" s="21"/>
      <c r="J298" s="21"/>
      <c r="K298" s="18"/>
      <c r="L298" s="18">
        <v>4</v>
      </c>
      <c r="M298" s="18">
        <v>4</v>
      </c>
    </row>
    <row r="299" spans="7:13">
      <c r="G299" s="13">
        <v>44421</v>
      </c>
      <c r="H299" s="18"/>
      <c r="I299" s="21"/>
      <c r="J299" s="21"/>
      <c r="K299" s="18"/>
      <c r="L299" s="18"/>
      <c r="M299" s="19">
        <v>5</v>
      </c>
    </row>
    <row r="300" spans="7:13">
      <c r="G300" s="13">
        <v>44422</v>
      </c>
      <c r="H300" s="35"/>
      <c r="I300" s="36"/>
      <c r="J300" s="36"/>
      <c r="K300" s="35"/>
      <c r="L300" s="35"/>
      <c r="M300" s="16"/>
    </row>
    <row r="301" spans="7:13">
      <c r="G301" s="13">
        <v>44423</v>
      </c>
      <c r="H301" s="35"/>
      <c r="I301" s="36"/>
      <c r="J301" s="36"/>
      <c r="K301" s="35"/>
      <c r="L301" s="35"/>
      <c r="M301" s="16"/>
    </row>
    <row r="302" spans="7:13">
      <c r="G302" s="13">
        <v>44424</v>
      </c>
      <c r="H302" s="19">
        <v>3</v>
      </c>
      <c r="I302" s="21">
        <v>3</v>
      </c>
      <c r="J302" s="21">
        <v>1</v>
      </c>
      <c r="K302" s="18">
        <v>4</v>
      </c>
      <c r="L302" s="21">
        <v>5</v>
      </c>
      <c r="M302" s="23">
        <v>1</v>
      </c>
    </row>
    <row r="303" spans="7:13">
      <c r="G303" s="13">
        <v>44425</v>
      </c>
      <c r="I303" s="21">
        <v>4</v>
      </c>
      <c r="J303" s="21">
        <v>2</v>
      </c>
      <c r="K303" s="21">
        <v>5</v>
      </c>
      <c r="L303" s="23">
        <v>1</v>
      </c>
      <c r="M303" s="24">
        <v>2</v>
      </c>
    </row>
    <row r="304" spans="7:13">
      <c r="G304" s="13">
        <v>44426</v>
      </c>
      <c r="I304" s="21"/>
      <c r="J304" s="21"/>
      <c r="K304" s="23">
        <v>1</v>
      </c>
      <c r="L304" s="24">
        <v>2</v>
      </c>
      <c r="M304" s="24">
        <v>3</v>
      </c>
    </row>
    <row r="305" spans="7:13">
      <c r="G305" s="13">
        <v>44427</v>
      </c>
      <c r="I305" s="21"/>
      <c r="J305" s="21"/>
      <c r="K305" s="24"/>
      <c r="L305" s="24">
        <v>3</v>
      </c>
      <c r="M305" s="24">
        <v>4</v>
      </c>
    </row>
    <row r="306" spans="7:13">
      <c r="G306" s="13">
        <v>44428</v>
      </c>
      <c r="I306" s="21"/>
      <c r="J306" s="21"/>
      <c r="K306" s="24"/>
      <c r="L306" s="24"/>
      <c r="M306" s="25">
        <v>5</v>
      </c>
    </row>
    <row r="307" spans="7:13">
      <c r="G307" s="13">
        <v>44429</v>
      </c>
      <c r="I307" s="36"/>
      <c r="J307" s="36"/>
      <c r="K307" s="35"/>
      <c r="L307" s="35"/>
      <c r="M307" s="16"/>
    </row>
    <row r="308" spans="7:13">
      <c r="G308" s="13">
        <v>44430</v>
      </c>
      <c r="I308" s="36"/>
      <c r="J308" s="36"/>
      <c r="K308" s="35"/>
      <c r="L308" s="35"/>
      <c r="M308" s="16"/>
    </row>
    <row r="309" spans="7:13">
      <c r="G309" s="13">
        <v>44431</v>
      </c>
      <c r="H309" s="17">
        <v>1</v>
      </c>
      <c r="I309" s="22">
        <v>5</v>
      </c>
      <c r="J309" s="21">
        <v>3</v>
      </c>
      <c r="K309" s="24">
        <v>2</v>
      </c>
      <c r="L309" s="24">
        <v>4</v>
      </c>
      <c r="M309" s="26">
        <v>1</v>
      </c>
    </row>
    <row r="310" spans="7:13">
      <c r="G310" s="13">
        <v>44432</v>
      </c>
      <c r="H310" s="18"/>
      <c r="I310" s="23">
        <v>1</v>
      </c>
      <c r="J310" s="24">
        <v>4</v>
      </c>
      <c r="K310" s="24">
        <v>3</v>
      </c>
      <c r="L310" s="25">
        <v>5</v>
      </c>
      <c r="M310" s="27">
        <v>2</v>
      </c>
    </row>
    <row r="311" spans="7:13">
      <c r="G311" s="13">
        <v>44433</v>
      </c>
      <c r="H311" s="18"/>
      <c r="I311" s="24"/>
      <c r="J311" s="24">
        <v>5</v>
      </c>
      <c r="K311" s="24">
        <v>4</v>
      </c>
      <c r="L311" s="26">
        <v>1</v>
      </c>
      <c r="M311" s="27">
        <v>3</v>
      </c>
    </row>
    <row r="312" spans="7:13">
      <c r="G312" s="13">
        <v>44434</v>
      </c>
      <c r="H312" s="18"/>
      <c r="I312" s="24"/>
      <c r="J312" s="24"/>
      <c r="K312" s="24"/>
      <c r="L312" s="27">
        <v>2</v>
      </c>
      <c r="M312" s="27">
        <v>4</v>
      </c>
    </row>
    <row r="313" spans="7:13">
      <c r="G313" s="13">
        <v>44435</v>
      </c>
      <c r="H313" s="18"/>
      <c r="I313" s="24"/>
      <c r="J313" s="24"/>
      <c r="K313" s="24"/>
      <c r="L313" s="27"/>
      <c r="M313" s="28">
        <v>5</v>
      </c>
    </row>
    <row r="314" spans="7:13">
      <c r="G314" s="13">
        <v>44436</v>
      </c>
      <c r="H314" s="35"/>
      <c r="I314" s="35"/>
      <c r="J314" s="35"/>
      <c r="K314" s="35"/>
      <c r="L314" s="35"/>
      <c r="M314" s="16"/>
    </row>
    <row r="315" spans="7:13">
      <c r="G315" s="13">
        <v>44437</v>
      </c>
      <c r="H315" s="35"/>
      <c r="I315" s="35"/>
      <c r="J315" s="35"/>
      <c r="K315" s="35"/>
      <c r="L315" s="35"/>
      <c r="M315" s="16"/>
    </row>
    <row r="316" spans="7:13">
      <c r="G316" s="13">
        <v>44438</v>
      </c>
      <c r="H316" s="18">
        <v>2</v>
      </c>
      <c r="I316" s="24">
        <v>2</v>
      </c>
      <c r="J316" s="24">
        <v>1</v>
      </c>
      <c r="K316" s="25">
        <v>5</v>
      </c>
      <c r="L316" s="27">
        <v>3</v>
      </c>
      <c r="M316" s="29">
        <v>1</v>
      </c>
    </row>
    <row r="317" spans="7:13">
      <c r="G317" s="13">
        <v>44439</v>
      </c>
      <c r="H317" s="18"/>
      <c r="I317" s="24">
        <v>3</v>
      </c>
      <c r="J317" s="24">
        <v>2</v>
      </c>
      <c r="K317" s="26">
        <v>1</v>
      </c>
      <c r="L317" s="27">
        <v>4</v>
      </c>
      <c r="M317" s="30">
        <v>2</v>
      </c>
    </row>
    <row r="318" spans="7:13">
      <c r="G318" s="13">
        <v>44440</v>
      </c>
      <c r="H318" s="18"/>
      <c r="I318" s="24"/>
      <c r="J318" s="24"/>
      <c r="K318" s="27">
        <v>2</v>
      </c>
      <c r="L318" s="28">
        <v>5</v>
      </c>
      <c r="M318" s="30">
        <v>3</v>
      </c>
    </row>
    <row r="319" spans="7:13">
      <c r="G319" s="13">
        <v>44441</v>
      </c>
      <c r="H319" s="18"/>
      <c r="I319" s="24"/>
      <c r="J319" s="24"/>
      <c r="K319" s="27"/>
      <c r="L319" s="29">
        <v>1</v>
      </c>
      <c r="M319" s="30">
        <v>4</v>
      </c>
    </row>
    <row r="320" spans="7:13">
      <c r="G320" s="13">
        <v>44442</v>
      </c>
      <c r="H320" s="18"/>
      <c r="I320" s="24"/>
      <c r="J320" s="24"/>
      <c r="K320" s="27"/>
      <c r="L320" s="30"/>
      <c r="M320" s="31">
        <v>5</v>
      </c>
    </row>
    <row r="321" spans="7:13">
      <c r="G321" s="13">
        <v>44443</v>
      </c>
      <c r="H321" s="35"/>
      <c r="I321" s="35"/>
      <c r="J321" s="35"/>
      <c r="K321" s="35"/>
      <c r="L321" s="35"/>
      <c r="M321" s="16"/>
    </row>
    <row r="322" spans="7:13">
      <c r="G322" s="13">
        <v>44444</v>
      </c>
      <c r="H322" s="35"/>
      <c r="I322" s="35"/>
      <c r="J322" s="35"/>
      <c r="K322" s="35"/>
      <c r="L322" s="35"/>
      <c r="M322" s="16"/>
    </row>
    <row r="323" spans="7:13">
      <c r="G323" s="13">
        <v>44445</v>
      </c>
      <c r="H323" s="19">
        <v>3</v>
      </c>
      <c r="I323" s="24">
        <v>4</v>
      </c>
      <c r="J323" s="24">
        <v>3</v>
      </c>
      <c r="K323" s="27">
        <v>3</v>
      </c>
      <c r="L323" s="30">
        <v>2</v>
      </c>
      <c r="M323" s="32">
        <v>1</v>
      </c>
    </row>
    <row r="324" spans="7:13">
      <c r="G324" s="13">
        <v>44446</v>
      </c>
      <c r="I324" s="25">
        <v>5</v>
      </c>
      <c r="J324" s="24">
        <v>4</v>
      </c>
      <c r="K324" s="27">
        <v>4</v>
      </c>
      <c r="L324" s="30">
        <v>3</v>
      </c>
      <c r="M324" s="33">
        <v>2</v>
      </c>
    </row>
    <row r="325" spans="7:13">
      <c r="G325" s="13">
        <v>44447</v>
      </c>
      <c r="J325" s="5">
        <v>5</v>
      </c>
      <c r="K325" s="28">
        <v>5</v>
      </c>
      <c r="L325" s="30">
        <v>4</v>
      </c>
      <c r="M325" s="33">
        <v>3</v>
      </c>
    </row>
    <row r="326" spans="7:13">
      <c r="G326" s="13">
        <v>44448</v>
      </c>
      <c r="L326" s="30">
        <v>5</v>
      </c>
      <c r="M326" s="33">
        <v>4</v>
      </c>
    </row>
    <row r="327" spans="7:13">
      <c r="G327" s="13">
        <v>44449</v>
      </c>
      <c r="L327" s="31"/>
      <c r="M327" s="34">
        <v>5</v>
      </c>
    </row>
    <row r="328" spans="7:13">
      <c r="G328" s="13">
        <v>44450</v>
      </c>
    </row>
    <row r="329" spans="7:13">
      <c r="G329" s="13">
        <v>44451</v>
      </c>
    </row>
    <row r="330" spans="7:13">
      <c r="G330" s="13">
        <v>44452</v>
      </c>
      <c r="H330" s="17">
        <v>1</v>
      </c>
      <c r="I330" s="20">
        <v>1</v>
      </c>
      <c r="J330" s="20">
        <v>1</v>
      </c>
      <c r="K330" s="17">
        <v>1</v>
      </c>
      <c r="L330" s="17">
        <v>1</v>
      </c>
      <c r="M330" s="17">
        <v>1</v>
      </c>
    </row>
    <row r="331" spans="7:13">
      <c r="G331" s="13">
        <v>44453</v>
      </c>
      <c r="H331" s="18"/>
      <c r="I331" s="21">
        <v>2</v>
      </c>
      <c r="J331" s="21">
        <v>2</v>
      </c>
      <c r="K331" s="18">
        <v>2</v>
      </c>
      <c r="L331" s="18">
        <v>2</v>
      </c>
      <c r="M331" s="18">
        <v>2</v>
      </c>
    </row>
    <row r="332" spans="7:13">
      <c r="G332" s="13">
        <v>44454</v>
      </c>
      <c r="H332" s="18"/>
      <c r="I332" s="21"/>
      <c r="J332" s="21"/>
      <c r="K332" s="18">
        <v>3</v>
      </c>
      <c r="L332" s="18">
        <v>3</v>
      </c>
      <c r="M332" s="18">
        <v>3</v>
      </c>
    </row>
    <row r="333" spans="7:13">
      <c r="G333" s="13">
        <v>44455</v>
      </c>
      <c r="H333" s="18"/>
      <c r="I333" s="21"/>
      <c r="J333" s="21"/>
      <c r="K333" s="18"/>
      <c r="L333" s="18">
        <v>4</v>
      </c>
      <c r="M333" s="18">
        <v>4</v>
      </c>
    </row>
    <row r="334" spans="7:13">
      <c r="G334" s="13">
        <v>44456</v>
      </c>
      <c r="H334" s="18"/>
      <c r="I334" s="21"/>
      <c r="J334" s="21"/>
      <c r="K334" s="18"/>
      <c r="L334" s="18"/>
      <c r="M334" s="19">
        <v>5</v>
      </c>
    </row>
    <row r="335" spans="7:13">
      <c r="G335" s="13">
        <v>44457</v>
      </c>
      <c r="H335" s="35"/>
      <c r="I335" s="36"/>
      <c r="J335" s="36"/>
      <c r="K335" s="35"/>
      <c r="L335" s="35"/>
      <c r="M335" s="16"/>
    </row>
    <row r="336" spans="7:13">
      <c r="G336" s="13">
        <v>44458</v>
      </c>
      <c r="H336" s="35"/>
      <c r="I336" s="36"/>
      <c r="J336" s="36"/>
      <c r="K336" s="35"/>
      <c r="L336" s="35"/>
      <c r="M336" s="16"/>
    </row>
    <row r="337" spans="7:13">
      <c r="G337" s="13">
        <v>44459</v>
      </c>
      <c r="H337" s="18">
        <v>2</v>
      </c>
      <c r="I337" s="21">
        <v>3</v>
      </c>
      <c r="J337" s="21">
        <v>3</v>
      </c>
      <c r="K337" s="18">
        <v>4</v>
      </c>
      <c r="L337" s="21">
        <v>5</v>
      </c>
      <c r="M337" s="23">
        <v>1</v>
      </c>
    </row>
    <row r="338" spans="7:13">
      <c r="G338" s="13">
        <v>44460</v>
      </c>
      <c r="H338" s="18"/>
      <c r="I338" s="21">
        <v>4</v>
      </c>
      <c r="J338" s="21">
        <v>4</v>
      </c>
      <c r="K338" s="21">
        <v>5</v>
      </c>
      <c r="L338" s="23">
        <v>1</v>
      </c>
      <c r="M338" s="24">
        <v>2</v>
      </c>
    </row>
    <row r="339" spans="7:13">
      <c r="G339" s="13">
        <v>44461</v>
      </c>
      <c r="H339" s="18"/>
      <c r="I339" s="21"/>
      <c r="J339" s="21">
        <v>5</v>
      </c>
      <c r="K339" s="23">
        <v>1</v>
      </c>
      <c r="L339" s="24">
        <v>2</v>
      </c>
      <c r="M339" s="24">
        <v>3</v>
      </c>
    </row>
    <row r="340" spans="7:13">
      <c r="G340" s="13">
        <v>44462</v>
      </c>
      <c r="H340" s="18"/>
      <c r="I340" s="21"/>
      <c r="J340" s="21"/>
      <c r="K340" s="24"/>
      <c r="L340" s="24">
        <v>3</v>
      </c>
      <c r="M340" s="24">
        <v>4</v>
      </c>
    </row>
    <row r="341" spans="7:13">
      <c r="G341" s="13">
        <v>44463</v>
      </c>
      <c r="H341" s="18"/>
      <c r="I341" s="21"/>
      <c r="J341" s="21"/>
      <c r="K341" s="24"/>
      <c r="L341" s="24"/>
      <c r="M341" s="25">
        <v>5</v>
      </c>
    </row>
    <row r="342" spans="7:13">
      <c r="G342" s="13">
        <v>44464</v>
      </c>
      <c r="H342" s="35"/>
      <c r="I342" s="36"/>
      <c r="J342" s="36"/>
      <c r="K342" s="35"/>
      <c r="L342" s="35"/>
      <c r="M342" s="16"/>
    </row>
    <row r="343" spans="7:13">
      <c r="G343" s="13">
        <v>44465</v>
      </c>
      <c r="H343" s="35"/>
      <c r="I343" s="36"/>
      <c r="J343" s="36"/>
      <c r="K343" s="35"/>
      <c r="L343" s="35"/>
      <c r="M343" s="16"/>
    </row>
    <row r="344" spans="7:13">
      <c r="G344" s="13">
        <v>44466</v>
      </c>
      <c r="H344" s="19">
        <v>3</v>
      </c>
      <c r="I344" s="22">
        <v>5</v>
      </c>
      <c r="J344" s="21">
        <v>1</v>
      </c>
      <c r="K344" s="24">
        <v>2</v>
      </c>
      <c r="L344" s="24">
        <v>4</v>
      </c>
      <c r="M344" s="26">
        <v>1</v>
      </c>
    </row>
    <row r="345" spans="7:13">
      <c r="G345" s="13">
        <v>44467</v>
      </c>
      <c r="I345" s="23">
        <v>1</v>
      </c>
      <c r="J345" s="24">
        <v>2</v>
      </c>
      <c r="K345" s="24">
        <v>3</v>
      </c>
      <c r="L345" s="25">
        <v>5</v>
      </c>
      <c r="M345" s="27">
        <v>2</v>
      </c>
    </row>
    <row r="346" spans="7:13">
      <c r="G346" s="13">
        <v>44468</v>
      </c>
      <c r="I346" s="24"/>
      <c r="J346" s="24"/>
      <c r="K346" s="24">
        <v>4</v>
      </c>
      <c r="L346" s="26">
        <v>1</v>
      </c>
      <c r="M346" s="27">
        <v>3</v>
      </c>
    </row>
    <row r="347" spans="7:13">
      <c r="G347" s="13">
        <v>44469</v>
      </c>
      <c r="I347" s="24"/>
      <c r="J347" s="24"/>
      <c r="K347" s="24"/>
      <c r="L347" s="27">
        <v>2</v>
      </c>
      <c r="M347" s="27">
        <v>4</v>
      </c>
    </row>
    <row r="348" spans="7:13">
      <c r="G348" s="13">
        <v>44470</v>
      </c>
      <c r="I348" s="24"/>
      <c r="J348" s="24"/>
      <c r="K348" s="24"/>
      <c r="L348" s="27"/>
      <c r="M348" s="28">
        <v>5</v>
      </c>
    </row>
    <row r="349" spans="7:13">
      <c r="G349" s="13">
        <v>44471</v>
      </c>
      <c r="I349" s="35"/>
      <c r="J349" s="35"/>
      <c r="K349" s="35"/>
      <c r="L349" s="35"/>
      <c r="M349" s="16"/>
    </row>
    <row r="350" spans="7:13">
      <c r="G350" s="13">
        <v>44472</v>
      </c>
      <c r="I350" s="35"/>
      <c r="J350" s="35"/>
      <c r="K350" s="35"/>
      <c r="L350" s="35"/>
      <c r="M350" s="16"/>
    </row>
    <row r="351" spans="7:13">
      <c r="G351" s="13">
        <v>44473</v>
      </c>
      <c r="H351" s="17">
        <v>1</v>
      </c>
      <c r="I351" s="24">
        <v>2</v>
      </c>
      <c r="J351" s="24">
        <v>3</v>
      </c>
      <c r="K351" s="25">
        <v>5</v>
      </c>
      <c r="L351" s="27">
        <v>3</v>
      </c>
      <c r="M351" s="29">
        <v>1</v>
      </c>
    </row>
    <row r="352" spans="7:13">
      <c r="G352" s="13">
        <v>44474</v>
      </c>
      <c r="H352" s="18"/>
      <c r="I352" s="24">
        <v>3</v>
      </c>
      <c r="J352" s="24">
        <v>4</v>
      </c>
      <c r="K352" s="26">
        <v>1</v>
      </c>
      <c r="L352" s="27">
        <v>4</v>
      </c>
      <c r="M352" s="30">
        <v>2</v>
      </c>
    </row>
    <row r="353" spans="7:13">
      <c r="G353" s="13">
        <v>44475</v>
      </c>
      <c r="H353" s="18"/>
      <c r="I353" s="24"/>
      <c r="J353" s="24">
        <v>5</v>
      </c>
      <c r="K353" s="27">
        <v>2</v>
      </c>
      <c r="L353" s="28">
        <v>5</v>
      </c>
      <c r="M353" s="30">
        <v>3</v>
      </c>
    </row>
    <row r="354" spans="7:13">
      <c r="G354" s="13">
        <v>44476</v>
      </c>
      <c r="H354" s="18"/>
      <c r="I354" s="24"/>
      <c r="J354" s="24"/>
      <c r="K354" s="27"/>
      <c r="L354" s="29">
        <v>1</v>
      </c>
      <c r="M354" s="30">
        <v>4</v>
      </c>
    </row>
    <row r="355" spans="7:13">
      <c r="G355" s="13">
        <v>44477</v>
      </c>
      <c r="H355" s="18"/>
      <c r="I355" s="24"/>
      <c r="J355" s="24"/>
      <c r="K355" s="27"/>
      <c r="L355" s="30"/>
      <c r="M355" s="31">
        <v>5</v>
      </c>
    </row>
    <row r="356" spans="7:13">
      <c r="G356" s="13">
        <v>44478</v>
      </c>
      <c r="H356" s="35"/>
      <c r="I356" s="35"/>
      <c r="J356" s="35"/>
      <c r="K356" s="35"/>
      <c r="L356" s="35"/>
      <c r="M356" s="16"/>
    </row>
    <row r="357" spans="7:13">
      <c r="G357" s="13">
        <v>44479</v>
      </c>
      <c r="H357" s="35"/>
      <c r="I357" s="35"/>
      <c r="J357" s="35"/>
      <c r="K357" s="35"/>
      <c r="L357" s="35"/>
      <c r="M357" s="16"/>
    </row>
    <row r="358" spans="7:13">
      <c r="G358" s="13">
        <v>44480</v>
      </c>
      <c r="H358" s="18">
        <v>2</v>
      </c>
      <c r="I358" s="24">
        <v>4</v>
      </c>
      <c r="J358" s="24">
        <v>1</v>
      </c>
      <c r="K358" s="27">
        <v>3</v>
      </c>
      <c r="L358" s="30">
        <v>2</v>
      </c>
      <c r="M358" s="32">
        <v>1</v>
      </c>
    </row>
    <row r="359" spans="7:13">
      <c r="G359" s="13">
        <v>44481</v>
      </c>
      <c r="H359" s="18"/>
      <c r="I359" s="25">
        <v>5</v>
      </c>
      <c r="J359" s="24">
        <v>2</v>
      </c>
      <c r="K359" s="27">
        <v>4</v>
      </c>
      <c r="L359" s="30">
        <v>3</v>
      </c>
      <c r="M359" s="33">
        <v>2</v>
      </c>
    </row>
    <row r="360" spans="7:13">
      <c r="G360" s="13">
        <v>44482</v>
      </c>
      <c r="H360" s="18"/>
      <c r="K360" s="28">
        <v>5</v>
      </c>
      <c r="L360" s="30">
        <v>4</v>
      </c>
      <c r="M360" s="33">
        <v>3</v>
      </c>
    </row>
    <row r="361" spans="7:13">
      <c r="G361" s="13">
        <v>44483</v>
      </c>
      <c r="H361" s="18"/>
      <c r="L361" s="30">
        <v>5</v>
      </c>
      <c r="M361" s="33">
        <v>4</v>
      </c>
    </row>
    <row r="362" spans="7:13">
      <c r="G362" s="13">
        <v>44484</v>
      </c>
      <c r="H362" s="18"/>
      <c r="L362" s="31"/>
      <c r="M362" s="34">
        <v>5</v>
      </c>
    </row>
    <row r="363" spans="7:13">
      <c r="G363" s="13">
        <v>44485</v>
      </c>
      <c r="H363" s="35"/>
    </row>
    <row r="364" spans="7:13">
      <c r="G364" s="13">
        <v>44486</v>
      </c>
      <c r="H364" s="35"/>
    </row>
    <row r="365" spans="7:13">
      <c r="G365" s="13">
        <v>44487</v>
      </c>
      <c r="H365" s="19">
        <v>3</v>
      </c>
      <c r="I365" s="20">
        <v>1</v>
      </c>
      <c r="J365" s="20">
        <v>3</v>
      </c>
      <c r="K365" s="17">
        <v>1</v>
      </c>
      <c r="L365" s="17">
        <v>1</v>
      </c>
      <c r="M365" s="17">
        <v>1</v>
      </c>
    </row>
    <row r="366" spans="7:13">
      <c r="G366" s="13">
        <v>44488</v>
      </c>
      <c r="I366" s="21">
        <v>2</v>
      </c>
      <c r="J366" s="21">
        <v>4</v>
      </c>
      <c r="K366" s="18">
        <v>2</v>
      </c>
      <c r="L366" s="18">
        <v>2</v>
      </c>
      <c r="M366" s="18">
        <v>2</v>
      </c>
    </row>
    <row r="367" spans="7:13">
      <c r="G367" s="13">
        <v>44489</v>
      </c>
      <c r="I367" s="21"/>
      <c r="J367" s="21">
        <v>5</v>
      </c>
      <c r="K367" s="18">
        <v>3</v>
      </c>
      <c r="L367" s="18">
        <v>3</v>
      </c>
      <c r="M367" s="18">
        <v>3</v>
      </c>
    </row>
    <row r="368" spans="7:13">
      <c r="G368" s="13">
        <v>44490</v>
      </c>
      <c r="I368" s="21"/>
      <c r="J368" s="21"/>
      <c r="K368" s="18"/>
      <c r="L368" s="18">
        <v>4</v>
      </c>
      <c r="M368" s="18">
        <v>4</v>
      </c>
    </row>
    <row r="369" spans="7:17">
      <c r="G369" s="13">
        <v>44491</v>
      </c>
      <c r="I369" s="21"/>
      <c r="J369" s="21"/>
      <c r="K369" s="18"/>
      <c r="L369" s="18"/>
      <c r="M369" s="19">
        <v>5</v>
      </c>
    </row>
    <row r="370" spans="7:17">
      <c r="G370" s="13">
        <v>44492</v>
      </c>
      <c r="I370" s="36"/>
      <c r="J370" s="36"/>
      <c r="K370" s="35"/>
      <c r="L370" s="35"/>
      <c r="M370" s="16"/>
    </row>
    <row r="371" spans="7:17">
      <c r="G371" s="13">
        <v>44493</v>
      </c>
      <c r="I371" s="36"/>
      <c r="J371" s="36"/>
      <c r="K371" s="35"/>
      <c r="L371" s="35"/>
      <c r="M371" s="16"/>
    </row>
    <row r="372" spans="7:17">
      <c r="G372" s="13">
        <v>44494</v>
      </c>
      <c r="H372" s="17">
        <v>1</v>
      </c>
      <c r="I372" s="21">
        <v>3</v>
      </c>
      <c r="J372" s="21">
        <v>1</v>
      </c>
      <c r="K372" s="18">
        <v>4</v>
      </c>
      <c r="L372" s="21">
        <v>5</v>
      </c>
      <c r="M372" s="23">
        <v>1</v>
      </c>
    </row>
    <row r="373" spans="7:17">
      <c r="G373" s="13">
        <v>44495</v>
      </c>
      <c r="H373" s="18"/>
      <c r="I373" s="21">
        <v>4</v>
      </c>
      <c r="J373" s="21">
        <v>2</v>
      </c>
      <c r="K373" s="21">
        <v>5</v>
      </c>
      <c r="L373" s="23">
        <v>1</v>
      </c>
      <c r="M373" s="24">
        <v>2</v>
      </c>
    </row>
    <row r="374" spans="7:17">
      <c r="G374" s="13">
        <v>44496</v>
      </c>
      <c r="H374" s="18"/>
      <c r="I374" s="21"/>
      <c r="J374" s="21"/>
      <c r="K374" s="23">
        <v>1</v>
      </c>
      <c r="L374" s="24">
        <v>2</v>
      </c>
      <c r="M374" s="24">
        <v>3</v>
      </c>
    </row>
    <row r="375" spans="7:17">
      <c r="G375" s="13">
        <v>44497</v>
      </c>
      <c r="H375" s="18"/>
      <c r="I375" s="21"/>
      <c r="J375" s="21"/>
      <c r="K375" s="24"/>
      <c r="L375" s="24">
        <v>3</v>
      </c>
      <c r="M375" s="24">
        <v>4</v>
      </c>
    </row>
    <row r="376" spans="7:17">
      <c r="G376" s="13">
        <v>44498</v>
      </c>
      <c r="H376" s="18"/>
      <c r="I376" s="21"/>
      <c r="J376" s="21"/>
      <c r="K376" s="24"/>
      <c r="L376" s="24"/>
      <c r="M376" s="25">
        <v>5</v>
      </c>
    </row>
    <row r="377" spans="7:17">
      <c r="G377" s="13">
        <v>44499</v>
      </c>
      <c r="H377" s="35"/>
      <c r="I377" s="36"/>
      <c r="J377" s="36"/>
      <c r="K377" s="35"/>
      <c r="L377" s="35"/>
      <c r="M377" s="16"/>
    </row>
    <row r="378" spans="7:17">
      <c r="G378" s="13">
        <v>44500</v>
      </c>
      <c r="H378" s="35"/>
      <c r="I378" s="36"/>
      <c r="J378" s="36"/>
      <c r="K378" s="35"/>
      <c r="L378" s="35"/>
      <c r="M378" s="16"/>
    </row>
    <row r="379" spans="7:17" s="57" customFormat="1">
      <c r="G379" s="67"/>
      <c r="H379" s="68">
        <f>1/3</f>
        <v>0.33333333333333331</v>
      </c>
      <c r="I379" s="69">
        <f>4/5</f>
        <v>0.8</v>
      </c>
      <c r="J379" s="69">
        <f>2/5</f>
        <v>0.4</v>
      </c>
      <c r="K379" s="68">
        <f>1/5</f>
        <v>0.2</v>
      </c>
      <c r="L379" s="68">
        <f>3/5</f>
        <v>0.6</v>
      </c>
      <c r="M379" s="70">
        <f>5/5</f>
        <v>1</v>
      </c>
      <c r="O379"/>
      <c r="P379" s="3"/>
      <c r="Q379"/>
    </row>
    <row r="380" spans="7:17">
      <c r="H380" s="18">
        <v>2</v>
      </c>
      <c r="I380" s="22">
        <v>5</v>
      </c>
      <c r="J380" s="82">
        <f>AVERAGE(K11,I11)</f>
        <v>26</v>
      </c>
      <c r="K380" s="24">
        <v>2</v>
      </c>
      <c r="L380" s="24">
        <v>4</v>
      </c>
      <c r="M380" s="26">
        <v>1</v>
      </c>
    </row>
    <row r="381" spans="7:17">
      <c r="H381" s="18"/>
      <c r="I381" s="23">
        <v>1</v>
      </c>
      <c r="J381" s="24">
        <v>4</v>
      </c>
      <c r="K381" s="24">
        <v>3</v>
      </c>
      <c r="L381" s="25">
        <v>5</v>
      </c>
      <c r="M381" s="27">
        <v>2</v>
      </c>
    </row>
    <row r="382" spans="7:17">
      <c r="H382" s="18"/>
      <c r="I382" s="24"/>
      <c r="J382" s="24">
        <v>5</v>
      </c>
      <c r="K382" s="24">
        <v>4</v>
      </c>
      <c r="L382" s="26">
        <v>1</v>
      </c>
      <c r="M382" s="27">
        <v>3</v>
      </c>
    </row>
    <row r="383" spans="7:17">
      <c r="H383" s="18"/>
      <c r="I383" s="24"/>
      <c r="J383" s="24"/>
      <c r="K383" s="24"/>
      <c r="L383" s="27">
        <v>2</v>
      </c>
      <c r="M383" s="27">
        <v>4</v>
      </c>
    </row>
    <row r="384" spans="7:17">
      <c r="H384" s="18"/>
      <c r="I384" s="24"/>
      <c r="J384" s="24"/>
      <c r="K384" s="24"/>
      <c r="L384" s="27"/>
      <c r="M384" s="28">
        <v>5</v>
      </c>
    </row>
    <row r="385" spans="8:13">
      <c r="H385" s="35"/>
      <c r="I385" s="35"/>
      <c r="J385" s="35"/>
      <c r="K385" s="35"/>
      <c r="L385" s="35"/>
      <c r="M385" s="16"/>
    </row>
    <row r="386" spans="8:13">
      <c r="H386" s="35"/>
      <c r="I386" s="35"/>
      <c r="J386" s="35"/>
      <c r="K386" s="35"/>
      <c r="L386" s="35"/>
      <c r="M386" s="16"/>
    </row>
    <row r="387" spans="8:13">
      <c r="H387" s="19">
        <v>3</v>
      </c>
      <c r="I387" s="24">
        <v>2</v>
      </c>
      <c r="J387" s="24"/>
      <c r="K387" s="25">
        <v>5</v>
      </c>
      <c r="L387" s="27">
        <v>3</v>
      </c>
      <c r="M387" s="29">
        <v>1</v>
      </c>
    </row>
    <row r="388" spans="8:13">
      <c r="I388" s="24">
        <v>3</v>
      </c>
      <c r="J388" s="24"/>
      <c r="K388" s="26">
        <v>1</v>
      </c>
      <c r="L388" s="27">
        <v>4</v>
      </c>
      <c r="M388" s="30">
        <v>2</v>
      </c>
    </row>
    <row r="389" spans="8:13">
      <c r="I389" s="24"/>
      <c r="J389" s="24"/>
      <c r="K389" s="27">
        <v>2</v>
      </c>
      <c r="L389" s="28">
        <v>5</v>
      </c>
      <c r="M389" s="30">
        <v>3</v>
      </c>
    </row>
    <row r="390" spans="8:13">
      <c r="I390" s="24"/>
      <c r="J390" s="24"/>
      <c r="K390" s="27"/>
      <c r="L390" s="29">
        <v>1</v>
      </c>
      <c r="M390" s="30">
        <v>4</v>
      </c>
    </row>
    <row r="391" spans="8:13">
      <c r="I391" s="24"/>
      <c r="J391" s="24"/>
      <c r="K391" s="27"/>
      <c r="L391" s="30"/>
      <c r="M391" s="31">
        <v>5</v>
      </c>
    </row>
    <row r="392" spans="8:13">
      <c r="I392" s="35"/>
      <c r="J392" s="35"/>
      <c r="K392" s="35"/>
      <c r="L392" s="35"/>
      <c r="M392" s="16"/>
    </row>
    <row r="393" spans="8:13">
      <c r="I393" s="35"/>
      <c r="J393" s="35"/>
      <c r="K393" s="35"/>
      <c r="L393" s="35"/>
      <c r="M393" s="16"/>
    </row>
    <row r="394" spans="8:13">
      <c r="I394" s="24">
        <v>4</v>
      </c>
      <c r="J394" s="24"/>
      <c r="K394" s="27">
        <v>3</v>
      </c>
      <c r="L394" s="30">
        <v>2</v>
      </c>
      <c r="M394" s="32">
        <v>1</v>
      </c>
    </row>
    <row r="395" spans="8:13">
      <c r="I395" s="25">
        <v>5</v>
      </c>
      <c r="J395" s="24"/>
      <c r="K395" s="27">
        <v>4</v>
      </c>
      <c r="L395" s="30">
        <v>3</v>
      </c>
      <c r="M395" s="33">
        <v>2</v>
      </c>
    </row>
    <row r="396" spans="8:13">
      <c r="K396" s="28">
        <v>5</v>
      </c>
      <c r="L396" s="30">
        <v>4</v>
      </c>
      <c r="M396" s="33">
        <v>3</v>
      </c>
    </row>
    <row r="397" spans="8:13">
      <c r="L397" s="30">
        <v>5</v>
      </c>
      <c r="M397" s="33">
        <v>4</v>
      </c>
    </row>
    <row r="398" spans="8:13">
      <c r="L398" s="31"/>
      <c r="M398" s="34">
        <v>5</v>
      </c>
    </row>
  </sheetData>
  <mergeCells count="3">
    <mergeCell ref="O1:O3"/>
    <mergeCell ref="Q1:Q3"/>
    <mergeCell ref="R1:R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BA8FF-8A00-4B11-8983-10182258FEFF}">
  <sheetPr codeName="Blad4"/>
  <dimension ref="H8:H9"/>
  <sheetViews>
    <sheetView workbookViewId="0">
      <selection activeCell="P10" sqref="P10:Q10"/>
    </sheetView>
  </sheetViews>
  <sheetFormatPr defaultRowHeight="15"/>
  <sheetData>
    <row r="8" spans="8:8">
      <c r="H8" t="s">
        <v>74</v>
      </c>
    </row>
    <row r="9" spans="8:8">
      <c r="H9" t="s"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5"/>
  <dimension ref="G1:AF156"/>
  <sheetViews>
    <sheetView workbookViewId="0">
      <pane ySplit="6" topLeftCell="A7" activePane="bottomLeft" state="frozen"/>
      <selection activeCell="P10" sqref="P10:Q10"/>
      <selection pane="bottomLeft" activeCell="P10" sqref="P10:Q10"/>
    </sheetView>
  </sheetViews>
  <sheetFormatPr defaultRowHeight="15"/>
  <cols>
    <col min="7" max="7" width="7.7109375" bestFit="1" customWidth="1"/>
    <col min="9" max="12" width="7.85546875" customWidth="1"/>
    <col min="13" max="15" width="10" customWidth="1"/>
    <col min="16" max="16" width="7.85546875" customWidth="1"/>
    <col min="17" max="19" width="9.85546875" customWidth="1"/>
    <col min="20" max="20" width="7.85546875" customWidth="1"/>
    <col min="21" max="21" width="9.85546875" customWidth="1"/>
    <col min="23" max="23" width="8.140625" customWidth="1"/>
    <col min="24" max="25" width="9.5703125" customWidth="1"/>
    <col min="29" max="29" width="19.7109375" customWidth="1"/>
    <col min="30" max="30" width="10.140625" customWidth="1"/>
    <col min="31" max="31" width="13.28515625" customWidth="1"/>
    <col min="32" max="33" width="15.28515625" customWidth="1"/>
  </cols>
  <sheetData>
    <row r="1" spans="7:32" ht="27" customHeight="1">
      <c r="G1" s="335" t="s">
        <v>89</v>
      </c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</row>
    <row r="2" spans="7:32">
      <c r="H2" s="79" t="s">
        <v>90</v>
      </c>
      <c r="I2" s="79" t="s">
        <v>219</v>
      </c>
      <c r="J2" s="79"/>
      <c r="Q2" t="s">
        <v>91</v>
      </c>
    </row>
    <row r="3" spans="7:32">
      <c r="J3" s="72"/>
    </row>
    <row r="4" spans="7:32">
      <c r="H4" s="2"/>
    </row>
    <row r="5" spans="7:32">
      <c r="G5" t="s">
        <v>92</v>
      </c>
      <c r="H5" s="336" t="s">
        <v>93</v>
      </c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5"/>
      <c r="V5" s="336" t="s">
        <v>94</v>
      </c>
      <c r="W5" s="336"/>
      <c r="X5" s="336"/>
      <c r="Y5" s="336"/>
    </row>
    <row r="6" spans="7:32" ht="78.75" customHeight="1">
      <c r="H6" s="100" t="s">
        <v>95</v>
      </c>
      <c r="I6" s="98" t="s">
        <v>96</v>
      </c>
      <c r="J6" s="98" t="s">
        <v>97</v>
      </c>
      <c r="K6" s="98" t="s">
        <v>98</v>
      </c>
      <c r="L6" s="98" t="s">
        <v>99</v>
      </c>
      <c r="M6" s="6" t="s">
        <v>100</v>
      </c>
      <c r="N6" s="6" t="s">
        <v>101</v>
      </c>
      <c r="O6" s="6" t="s">
        <v>102</v>
      </c>
      <c r="P6" s="6" t="s">
        <v>103</v>
      </c>
      <c r="Q6" s="99" t="s">
        <v>104</v>
      </c>
      <c r="R6" s="99" t="s">
        <v>105</v>
      </c>
      <c r="S6" s="99" t="s">
        <v>106</v>
      </c>
      <c r="T6" s="99" t="s">
        <v>107</v>
      </c>
      <c r="U6" s="4"/>
      <c r="V6" s="100" t="s">
        <v>95</v>
      </c>
      <c r="W6" s="98" t="s">
        <v>96</v>
      </c>
      <c r="X6" s="6" t="s">
        <v>100</v>
      </c>
      <c r="Y6" s="99" t="s">
        <v>104</v>
      </c>
      <c r="Z6" s="1"/>
      <c r="AA6" s="1"/>
      <c r="AB6" s="1"/>
      <c r="AD6" s="1"/>
    </row>
    <row r="7" spans="7:32" ht="14.45" customHeight="1">
      <c r="G7">
        <v>1</v>
      </c>
      <c r="H7" t="s">
        <v>375</v>
      </c>
      <c r="I7" s="72" t="s">
        <v>220</v>
      </c>
      <c r="J7" s="38">
        <f>I7+$AD$9</f>
        <v>90</v>
      </c>
      <c r="K7" s="38">
        <f>I7+$AD$10</f>
        <v>74</v>
      </c>
      <c r="L7" s="38">
        <f>I7+$AD$14</f>
        <v>94</v>
      </c>
      <c r="M7" s="72" t="s">
        <v>264</v>
      </c>
      <c r="N7" s="38">
        <f>M7+$AE$9</f>
        <v>244</v>
      </c>
      <c r="O7" s="38">
        <f>M7+$AE$10</f>
        <v>193</v>
      </c>
      <c r="P7" s="38">
        <f>M7+$AE$14</f>
        <v>263</v>
      </c>
      <c r="Q7" s="72" t="s">
        <v>320</v>
      </c>
      <c r="R7" s="38">
        <f t="shared" ref="R7:R37" si="0">Q7+$AF$9</f>
        <v>749</v>
      </c>
      <c r="S7" s="38">
        <f t="shared" ref="S7:S37" si="1">Q7+$AF$10</f>
        <v>625</v>
      </c>
      <c r="T7" s="38">
        <f>Q7+$AF$14</f>
        <v>949</v>
      </c>
      <c r="U7" s="3"/>
      <c r="V7" s="72">
        <v>20.3</v>
      </c>
      <c r="W7" s="72">
        <v>60</v>
      </c>
      <c r="X7" s="72">
        <v>167</v>
      </c>
      <c r="Y7" s="72">
        <v>596</v>
      </c>
      <c r="AC7" s="75" t="s">
        <v>108</v>
      </c>
    </row>
    <row r="8" spans="7:32" ht="29.25" thickBot="1">
      <c r="G8">
        <v>2</v>
      </c>
      <c r="H8" t="s">
        <v>375</v>
      </c>
      <c r="I8" s="72" t="s">
        <v>220</v>
      </c>
      <c r="J8" s="38">
        <f t="shared" ref="J8:J67" si="2">I8+$AD$9</f>
        <v>90</v>
      </c>
      <c r="K8" s="38">
        <f t="shared" ref="K8:K67" si="3">I8+$AD$10</f>
        <v>74</v>
      </c>
      <c r="L8" s="38">
        <f t="shared" ref="L8:L67" si="4">I8+$AD$14</f>
        <v>94</v>
      </c>
      <c r="M8" s="72" t="s">
        <v>264</v>
      </c>
      <c r="N8" s="38">
        <f t="shared" ref="N8:N37" si="5">M8+$AE$9</f>
        <v>244</v>
      </c>
      <c r="O8" s="38">
        <f t="shared" ref="O8:O37" si="6">M8+$AE$10</f>
        <v>193</v>
      </c>
      <c r="P8" s="38">
        <f t="shared" ref="P8:P67" si="7">M8+$AE$14</f>
        <v>263</v>
      </c>
      <c r="Q8" s="72" t="s">
        <v>320</v>
      </c>
      <c r="R8" s="38">
        <f t="shared" si="0"/>
        <v>749</v>
      </c>
      <c r="S8" s="38">
        <f t="shared" si="1"/>
        <v>625</v>
      </c>
      <c r="T8" s="38">
        <f t="shared" ref="T8:T67" si="8">Q8+$AF$14</f>
        <v>949</v>
      </c>
      <c r="U8" s="3"/>
      <c r="V8" s="72">
        <v>20.3</v>
      </c>
      <c r="W8" s="72">
        <v>60</v>
      </c>
      <c r="X8" s="72">
        <v>167</v>
      </c>
      <c r="Y8" s="72">
        <v>596</v>
      </c>
      <c r="AC8" s="76" t="s">
        <v>109</v>
      </c>
      <c r="AD8" s="76" t="s">
        <v>73</v>
      </c>
      <c r="AE8" s="76" t="s">
        <v>110</v>
      </c>
      <c r="AF8" s="76" t="s">
        <v>111</v>
      </c>
    </row>
    <row r="9" spans="7:32" ht="14.45" customHeight="1" thickBot="1">
      <c r="G9">
        <v>3</v>
      </c>
      <c r="H9" t="s">
        <v>375</v>
      </c>
      <c r="I9" s="72" t="s">
        <v>220</v>
      </c>
      <c r="J9" s="38">
        <f t="shared" si="2"/>
        <v>90</v>
      </c>
      <c r="K9" s="38">
        <f t="shared" si="3"/>
        <v>74</v>
      </c>
      <c r="L9" s="38">
        <f t="shared" si="4"/>
        <v>94</v>
      </c>
      <c r="M9" s="72" t="s">
        <v>264</v>
      </c>
      <c r="N9" s="38">
        <f t="shared" si="5"/>
        <v>244</v>
      </c>
      <c r="O9" s="38">
        <f t="shared" si="6"/>
        <v>193</v>
      </c>
      <c r="P9" s="38">
        <f t="shared" si="7"/>
        <v>263</v>
      </c>
      <c r="Q9" s="72" t="s">
        <v>320</v>
      </c>
      <c r="R9" s="38">
        <f t="shared" si="0"/>
        <v>749</v>
      </c>
      <c r="S9" s="38">
        <f t="shared" si="1"/>
        <v>625</v>
      </c>
      <c r="T9" s="38">
        <f t="shared" si="8"/>
        <v>949</v>
      </c>
      <c r="U9" s="3"/>
      <c r="V9" s="72">
        <v>20.3</v>
      </c>
      <c r="W9" s="72">
        <v>60</v>
      </c>
      <c r="X9" s="72">
        <v>167</v>
      </c>
      <c r="Y9" s="72">
        <v>596</v>
      </c>
      <c r="AC9" s="76" t="s">
        <v>112</v>
      </c>
      <c r="AD9" s="76">
        <v>45</v>
      </c>
      <c r="AE9" s="76">
        <v>118</v>
      </c>
      <c r="AF9" s="76">
        <v>299</v>
      </c>
    </row>
    <row r="10" spans="7:32" ht="14.45" customHeight="1" thickBot="1">
      <c r="G10">
        <v>4</v>
      </c>
      <c r="H10" t="s">
        <v>376</v>
      </c>
      <c r="I10" s="72" t="s">
        <v>221</v>
      </c>
      <c r="J10" s="38">
        <f t="shared" si="2"/>
        <v>94</v>
      </c>
      <c r="K10" s="38">
        <f t="shared" si="3"/>
        <v>78</v>
      </c>
      <c r="L10" s="38">
        <f t="shared" si="4"/>
        <v>98</v>
      </c>
      <c r="M10" s="72" t="s">
        <v>265</v>
      </c>
      <c r="N10" s="38">
        <f t="shared" si="5"/>
        <v>255</v>
      </c>
      <c r="O10" s="38">
        <f t="shared" si="6"/>
        <v>204</v>
      </c>
      <c r="P10" s="38">
        <f t="shared" si="7"/>
        <v>274</v>
      </c>
      <c r="Q10" s="72" t="s">
        <v>321</v>
      </c>
      <c r="R10" s="38">
        <f t="shared" si="0"/>
        <v>789</v>
      </c>
      <c r="S10" s="38">
        <f t="shared" si="1"/>
        <v>665</v>
      </c>
      <c r="T10" s="38">
        <f t="shared" si="8"/>
        <v>989</v>
      </c>
      <c r="U10" s="3"/>
      <c r="V10" s="72">
        <v>22.1</v>
      </c>
      <c r="W10" s="72">
        <v>65</v>
      </c>
      <c r="X10" s="72">
        <v>182</v>
      </c>
      <c r="Y10" s="72">
        <v>649</v>
      </c>
      <c r="AC10" s="76" t="s">
        <v>113</v>
      </c>
      <c r="AD10" s="76">
        <v>29</v>
      </c>
      <c r="AE10" s="76">
        <v>67</v>
      </c>
      <c r="AF10" s="76">
        <v>175</v>
      </c>
    </row>
    <row r="11" spans="7:32" ht="14.45" customHeight="1">
      <c r="G11">
        <v>5</v>
      </c>
      <c r="H11" t="s">
        <v>377</v>
      </c>
      <c r="I11" s="72" t="s">
        <v>222</v>
      </c>
      <c r="J11" s="38">
        <f t="shared" si="2"/>
        <v>98</v>
      </c>
      <c r="K11" s="38">
        <f t="shared" si="3"/>
        <v>82</v>
      </c>
      <c r="L11" s="38">
        <f t="shared" si="4"/>
        <v>102</v>
      </c>
      <c r="M11" s="72" t="s">
        <v>266</v>
      </c>
      <c r="N11" s="38">
        <f t="shared" si="5"/>
        <v>266</v>
      </c>
      <c r="O11" s="38">
        <f t="shared" si="6"/>
        <v>215</v>
      </c>
      <c r="P11" s="38">
        <f t="shared" si="7"/>
        <v>285</v>
      </c>
      <c r="Q11" s="72" t="s">
        <v>322</v>
      </c>
      <c r="R11" s="38">
        <f t="shared" si="0"/>
        <v>828</v>
      </c>
      <c r="S11" s="38">
        <f t="shared" si="1"/>
        <v>704</v>
      </c>
      <c r="T11" s="38">
        <f t="shared" si="8"/>
        <v>1028</v>
      </c>
      <c r="U11" s="3"/>
      <c r="V11" s="72">
        <v>23.9</v>
      </c>
      <c r="W11" s="72">
        <v>70</v>
      </c>
      <c r="X11" s="72">
        <v>196</v>
      </c>
      <c r="Y11" s="72">
        <v>702</v>
      </c>
    </row>
    <row r="12" spans="7:32" ht="15.75">
      <c r="G12">
        <v>6</v>
      </c>
      <c r="H12" t="s">
        <v>378</v>
      </c>
      <c r="I12" s="72" t="s">
        <v>223</v>
      </c>
      <c r="J12" s="38">
        <f t="shared" si="2"/>
        <v>101</v>
      </c>
      <c r="K12" s="38">
        <f t="shared" si="3"/>
        <v>85</v>
      </c>
      <c r="L12" s="38">
        <f t="shared" si="4"/>
        <v>105</v>
      </c>
      <c r="M12" s="72" t="s">
        <v>267</v>
      </c>
      <c r="N12" s="38">
        <f t="shared" si="5"/>
        <v>276</v>
      </c>
      <c r="O12" s="38">
        <f t="shared" si="6"/>
        <v>225</v>
      </c>
      <c r="P12" s="38">
        <f t="shared" si="7"/>
        <v>295</v>
      </c>
      <c r="Q12" s="72" t="s">
        <v>323</v>
      </c>
      <c r="R12" s="38">
        <f t="shared" si="0"/>
        <v>862</v>
      </c>
      <c r="S12" s="38">
        <f t="shared" si="1"/>
        <v>738</v>
      </c>
      <c r="T12" s="38">
        <f t="shared" si="8"/>
        <v>1062</v>
      </c>
      <c r="U12" s="3"/>
      <c r="V12" s="72">
        <v>25.5</v>
      </c>
      <c r="W12" s="72">
        <v>75</v>
      </c>
      <c r="X12" s="72">
        <v>209</v>
      </c>
      <c r="Y12" s="72">
        <v>746</v>
      </c>
      <c r="AC12" s="78" t="s">
        <v>114</v>
      </c>
    </row>
    <row r="13" spans="7:32" ht="29.25" thickBot="1">
      <c r="G13">
        <v>7</v>
      </c>
      <c r="H13" t="s">
        <v>379</v>
      </c>
      <c r="I13" s="72" t="s">
        <v>224</v>
      </c>
      <c r="J13" s="38">
        <f t="shared" si="2"/>
        <v>105</v>
      </c>
      <c r="K13" s="38">
        <f t="shared" si="3"/>
        <v>89</v>
      </c>
      <c r="L13" s="38">
        <f t="shared" si="4"/>
        <v>109</v>
      </c>
      <c r="M13" s="72" t="s">
        <v>268</v>
      </c>
      <c r="N13" s="38">
        <f t="shared" si="5"/>
        <v>285</v>
      </c>
      <c r="O13" s="38">
        <f t="shared" si="6"/>
        <v>234</v>
      </c>
      <c r="P13" s="38">
        <f t="shared" si="7"/>
        <v>304</v>
      </c>
      <c r="Q13" s="72" t="s">
        <v>324</v>
      </c>
      <c r="R13" s="38">
        <f t="shared" si="0"/>
        <v>896</v>
      </c>
      <c r="S13" s="38">
        <f t="shared" si="1"/>
        <v>772</v>
      </c>
      <c r="T13" s="38">
        <f t="shared" si="8"/>
        <v>1096</v>
      </c>
      <c r="U13" s="3"/>
      <c r="V13" s="72">
        <v>27</v>
      </c>
      <c r="W13" s="72">
        <v>79</v>
      </c>
      <c r="X13" s="72">
        <v>222</v>
      </c>
      <c r="Y13" s="72">
        <v>791</v>
      </c>
      <c r="AC13" s="74" t="s">
        <v>115</v>
      </c>
      <c r="AD13" s="74" t="s">
        <v>73</v>
      </c>
      <c r="AE13" s="74" t="s">
        <v>116</v>
      </c>
      <c r="AF13" s="74" t="s">
        <v>117</v>
      </c>
    </row>
    <row r="14" spans="7:32" ht="15.75" thickBot="1">
      <c r="G14">
        <v>8</v>
      </c>
      <c r="H14" t="s">
        <v>380</v>
      </c>
      <c r="I14" s="72" t="s">
        <v>225</v>
      </c>
      <c r="J14" s="38">
        <f t="shared" si="2"/>
        <v>108</v>
      </c>
      <c r="K14" s="38">
        <f t="shared" si="3"/>
        <v>92</v>
      </c>
      <c r="L14" s="38">
        <f t="shared" si="4"/>
        <v>112</v>
      </c>
      <c r="M14" s="72" t="s">
        <v>269</v>
      </c>
      <c r="N14" s="38">
        <f t="shared" si="5"/>
        <v>295</v>
      </c>
      <c r="O14" s="38">
        <f t="shared" si="6"/>
        <v>244</v>
      </c>
      <c r="P14" s="38">
        <f t="shared" si="7"/>
        <v>314</v>
      </c>
      <c r="Q14" s="72" t="s">
        <v>325</v>
      </c>
      <c r="R14" s="38">
        <f t="shared" si="0"/>
        <v>930</v>
      </c>
      <c r="S14" s="38">
        <f t="shared" si="1"/>
        <v>806</v>
      </c>
      <c r="T14" s="38">
        <f t="shared" si="8"/>
        <v>1130</v>
      </c>
      <c r="U14" s="3"/>
      <c r="V14" s="72">
        <v>28.5</v>
      </c>
      <c r="W14" s="72">
        <v>84</v>
      </c>
      <c r="X14" s="72">
        <v>234</v>
      </c>
      <c r="Y14" s="72">
        <v>836</v>
      </c>
      <c r="AC14" s="74" t="s">
        <v>118</v>
      </c>
      <c r="AD14" s="77">
        <v>49</v>
      </c>
      <c r="AE14" s="77">
        <v>137</v>
      </c>
      <c r="AF14" s="77">
        <v>499</v>
      </c>
    </row>
    <row r="15" spans="7:32" ht="15.75" thickBot="1">
      <c r="G15">
        <v>9</v>
      </c>
      <c r="H15" t="s">
        <v>381</v>
      </c>
      <c r="I15" s="72" t="s">
        <v>226</v>
      </c>
      <c r="J15" s="38">
        <f t="shared" si="2"/>
        <v>111</v>
      </c>
      <c r="K15" s="38">
        <f t="shared" si="3"/>
        <v>95</v>
      </c>
      <c r="L15" s="38">
        <f t="shared" si="4"/>
        <v>115</v>
      </c>
      <c r="M15" s="72" t="s">
        <v>270</v>
      </c>
      <c r="N15" s="38">
        <f t="shared" si="5"/>
        <v>304</v>
      </c>
      <c r="O15" s="38">
        <f t="shared" si="6"/>
        <v>253</v>
      </c>
      <c r="P15" s="38">
        <f t="shared" si="7"/>
        <v>323</v>
      </c>
      <c r="Q15" s="72" t="s">
        <v>326</v>
      </c>
      <c r="R15" s="38">
        <f t="shared" si="0"/>
        <v>964</v>
      </c>
      <c r="S15" s="38">
        <f t="shared" si="1"/>
        <v>840</v>
      </c>
      <c r="T15" s="38">
        <f t="shared" si="8"/>
        <v>1164</v>
      </c>
      <c r="U15" s="3"/>
      <c r="V15" s="72">
        <v>30</v>
      </c>
      <c r="W15" s="72">
        <v>88</v>
      </c>
      <c r="X15" s="72">
        <v>247</v>
      </c>
      <c r="Y15" s="72">
        <v>881</v>
      </c>
      <c r="AC15" s="74" t="s">
        <v>119</v>
      </c>
      <c r="AD15" s="77">
        <v>49</v>
      </c>
      <c r="AE15" s="77">
        <v>137</v>
      </c>
      <c r="AF15" s="74" t="s">
        <v>120</v>
      </c>
    </row>
    <row r="16" spans="7:32" ht="15.75" thickBot="1">
      <c r="G16">
        <v>10</v>
      </c>
      <c r="H16" t="s">
        <v>382</v>
      </c>
      <c r="I16" s="72" t="s">
        <v>227</v>
      </c>
      <c r="J16" s="38">
        <f t="shared" si="2"/>
        <v>115</v>
      </c>
      <c r="K16" s="38">
        <f t="shared" si="3"/>
        <v>99</v>
      </c>
      <c r="L16" s="38">
        <f t="shared" si="4"/>
        <v>119</v>
      </c>
      <c r="M16" s="72" t="s">
        <v>271</v>
      </c>
      <c r="N16" s="38">
        <f t="shared" si="5"/>
        <v>314</v>
      </c>
      <c r="O16" s="38">
        <f t="shared" si="6"/>
        <v>263</v>
      </c>
      <c r="P16" s="38">
        <f t="shared" si="7"/>
        <v>333</v>
      </c>
      <c r="Q16" s="72" t="s">
        <v>327</v>
      </c>
      <c r="R16" s="38">
        <f t="shared" si="0"/>
        <v>998</v>
      </c>
      <c r="S16" s="38">
        <f t="shared" si="1"/>
        <v>874</v>
      </c>
      <c r="T16" s="38">
        <f t="shared" si="8"/>
        <v>1198</v>
      </c>
      <c r="U16" s="3"/>
      <c r="V16" s="72">
        <v>31.5</v>
      </c>
      <c r="W16" s="72">
        <v>93</v>
      </c>
      <c r="X16" s="72">
        <v>259</v>
      </c>
      <c r="Y16" s="72">
        <v>926</v>
      </c>
      <c r="AC16" s="74" t="s">
        <v>121</v>
      </c>
      <c r="AD16" s="77">
        <v>49</v>
      </c>
      <c r="AE16" s="77">
        <v>137</v>
      </c>
      <c r="AF16" s="77">
        <v>499</v>
      </c>
    </row>
    <row r="17" spans="7:25" ht="14.45" customHeight="1">
      <c r="G17">
        <v>11</v>
      </c>
      <c r="H17" t="s">
        <v>383</v>
      </c>
      <c r="I17" s="72" t="s">
        <v>228</v>
      </c>
      <c r="J17" s="38">
        <f t="shared" si="2"/>
        <v>118</v>
      </c>
      <c r="K17" s="38">
        <f t="shared" si="3"/>
        <v>102</v>
      </c>
      <c r="L17" s="38">
        <f t="shared" si="4"/>
        <v>122</v>
      </c>
      <c r="M17" s="72" t="s">
        <v>272</v>
      </c>
      <c r="N17" s="38">
        <f t="shared" si="5"/>
        <v>323</v>
      </c>
      <c r="O17" s="38">
        <f t="shared" si="6"/>
        <v>272</v>
      </c>
      <c r="P17" s="38">
        <f t="shared" si="7"/>
        <v>342</v>
      </c>
      <c r="Q17" s="72" t="s">
        <v>328</v>
      </c>
      <c r="R17" s="38">
        <f t="shared" si="0"/>
        <v>1031</v>
      </c>
      <c r="S17" s="38">
        <f t="shared" si="1"/>
        <v>907</v>
      </c>
      <c r="T17" s="38">
        <f t="shared" si="8"/>
        <v>1231</v>
      </c>
      <c r="U17" s="3"/>
      <c r="V17" s="72">
        <v>33</v>
      </c>
      <c r="W17" s="72">
        <v>97</v>
      </c>
      <c r="X17" s="72">
        <v>272</v>
      </c>
      <c r="Y17" s="72">
        <v>971</v>
      </c>
    </row>
    <row r="18" spans="7:25">
      <c r="G18">
        <v>12</v>
      </c>
      <c r="H18" t="s">
        <v>384</v>
      </c>
      <c r="I18" s="72" t="s">
        <v>229</v>
      </c>
      <c r="J18" s="38">
        <f t="shared" si="2"/>
        <v>122</v>
      </c>
      <c r="K18" s="38">
        <f t="shared" si="3"/>
        <v>106</v>
      </c>
      <c r="L18" s="38">
        <f t="shared" si="4"/>
        <v>126</v>
      </c>
      <c r="M18" s="72" t="s">
        <v>273</v>
      </c>
      <c r="N18" s="38">
        <f t="shared" si="5"/>
        <v>333</v>
      </c>
      <c r="O18" s="38">
        <f t="shared" si="6"/>
        <v>282</v>
      </c>
      <c r="P18" s="38">
        <f t="shared" si="7"/>
        <v>352</v>
      </c>
      <c r="Q18" s="72" t="s">
        <v>329</v>
      </c>
      <c r="R18" s="38">
        <f t="shared" si="0"/>
        <v>1065</v>
      </c>
      <c r="S18" s="38">
        <f t="shared" si="1"/>
        <v>941</v>
      </c>
      <c r="T18" s="38">
        <f t="shared" si="8"/>
        <v>1265</v>
      </c>
      <c r="U18" s="3"/>
      <c r="V18" s="72">
        <v>34.5</v>
      </c>
      <c r="W18" s="72">
        <v>102</v>
      </c>
      <c r="X18" s="72">
        <v>284</v>
      </c>
      <c r="Y18" s="72">
        <v>1015</v>
      </c>
    </row>
    <row r="19" spans="7:25" ht="14.45" customHeight="1">
      <c r="G19">
        <v>13</v>
      </c>
      <c r="H19" t="s">
        <v>385</v>
      </c>
      <c r="I19" s="72" t="s">
        <v>230</v>
      </c>
      <c r="J19" s="38">
        <f t="shared" si="2"/>
        <v>125</v>
      </c>
      <c r="K19" s="38">
        <f t="shared" si="3"/>
        <v>109</v>
      </c>
      <c r="L19" s="38">
        <f t="shared" si="4"/>
        <v>129</v>
      </c>
      <c r="M19" s="72" t="s">
        <v>274</v>
      </c>
      <c r="N19" s="38">
        <f t="shared" si="5"/>
        <v>342</v>
      </c>
      <c r="O19" s="38">
        <f t="shared" si="6"/>
        <v>291</v>
      </c>
      <c r="P19" s="38">
        <f t="shared" si="7"/>
        <v>361</v>
      </c>
      <c r="Q19" s="72" t="s">
        <v>330</v>
      </c>
      <c r="R19" s="38">
        <f t="shared" si="0"/>
        <v>1099</v>
      </c>
      <c r="S19" s="38">
        <f t="shared" si="1"/>
        <v>975</v>
      </c>
      <c r="T19" s="38">
        <f t="shared" si="8"/>
        <v>1299</v>
      </c>
      <c r="U19" s="3"/>
      <c r="V19" s="72">
        <v>36</v>
      </c>
      <c r="W19" s="72">
        <v>106</v>
      </c>
      <c r="X19" s="72">
        <v>297</v>
      </c>
      <c r="Y19" s="72">
        <v>1060</v>
      </c>
    </row>
    <row r="20" spans="7:25">
      <c r="G20">
        <v>14</v>
      </c>
      <c r="H20" t="s">
        <v>386</v>
      </c>
      <c r="I20" s="72" t="s">
        <v>231</v>
      </c>
      <c r="J20" s="38">
        <f t="shared" si="2"/>
        <v>128</v>
      </c>
      <c r="K20" s="38">
        <f t="shared" si="3"/>
        <v>112</v>
      </c>
      <c r="L20" s="38">
        <f t="shared" si="4"/>
        <v>132</v>
      </c>
      <c r="M20" s="72" t="s">
        <v>275</v>
      </c>
      <c r="N20" s="38">
        <f t="shared" si="5"/>
        <v>351</v>
      </c>
      <c r="O20" s="38">
        <f t="shared" si="6"/>
        <v>300</v>
      </c>
      <c r="P20" s="38">
        <f t="shared" si="7"/>
        <v>370</v>
      </c>
      <c r="Q20" s="72" t="s">
        <v>331</v>
      </c>
      <c r="R20" s="38">
        <f t="shared" si="0"/>
        <v>1133</v>
      </c>
      <c r="S20" s="38">
        <f t="shared" si="1"/>
        <v>1009</v>
      </c>
      <c r="T20" s="38">
        <f t="shared" si="8"/>
        <v>1333</v>
      </c>
      <c r="U20" s="3"/>
      <c r="V20" s="72">
        <v>37.5</v>
      </c>
      <c r="W20" s="72">
        <v>111</v>
      </c>
      <c r="X20" s="72">
        <v>309</v>
      </c>
      <c r="Y20" s="72">
        <v>1105</v>
      </c>
    </row>
    <row r="21" spans="7:25" ht="14.45" customHeight="1">
      <c r="G21">
        <v>15</v>
      </c>
      <c r="H21" t="s">
        <v>387</v>
      </c>
      <c r="I21" s="72" t="s">
        <v>232</v>
      </c>
      <c r="J21" s="38">
        <f t="shared" si="2"/>
        <v>132</v>
      </c>
      <c r="K21" s="38">
        <f t="shared" si="3"/>
        <v>116</v>
      </c>
      <c r="L21" s="38">
        <f t="shared" si="4"/>
        <v>136</v>
      </c>
      <c r="M21" s="72" t="s">
        <v>276</v>
      </c>
      <c r="N21" s="38">
        <f t="shared" si="5"/>
        <v>361</v>
      </c>
      <c r="O21" s="38">
        <f t="shared" si="6"/>
        <v>310</v>
      </c>
      <c r="P21" s="38">
        <f t="shared" si="7"/>
        <v>380</v>
      </c>
      <c r="Q21" s="72" t="s">
        <v>332</v>
      </c>
      <c r="R21" s="38">
        <f t="shared" si="0"/>
        <v>1167</v>
      </c>
      <c r="S21" s="38">
        <f t="shared" si="1"/>
        <v>1043</v>
      </c>
      <c r="T21" s="38">
        <f t="shared" si="8"/>
        <v>1367</v>
      </c>
      <c r="U21" s="3"/>
      <c r="V21" s="72">
        <v>39</v>
      </c>
      <c r="W21" s="72">
        <v>115</v>
      </c>
      <c r="X21" s="72">
        <v>322</v>
      </c>
      <c r="Y21" s="72">
        <v>1150</v>
      </c>
    </row>
    <row r="22" spans="7:25">
      <c r="G22">
        <v>16</v>
      </c>
      <c r="H22" t="s">
        <v>388</v>
      </c>
      <c r="I22" s="72" t="s">
        <v>233</v>
      </c>
      <c r="J22" s="38">
        <f t="shared" si="2"/>
        <v>135</v>
      </c>
      <c r="K22" s="38">
        <f t="shared" si="3"/>
        <v>119</v>
      </c>
      <c r="L22" s="38">
        <f t="shared" si="4"/>
        <v>139</v>
      </c>
      <c r="M22" s="72" t="s">
        <v>277</v>
      </c>
      <c r="N22" s="38">
        <f t="shared" si="5"/>
        <v>370</v>
      </c>
      <c r="O22" s="38">
        <f t="shared" si="6"/>
        <v>319</v>
      </c>
      <c r="P22" s="38">
        <f t="shared" si="7"/>
        <v>389</v>
      </c>
      <c r="Q22" s="72" t="s">
        <v>333</v>
      </c>
      <c r="R22" s="38">
        <f t="shared" si="0"/>
        <v>1201</v>
      </c>
      <c r="S22" s="38">
        <f t="shared" si="1"/>
        <v>1077</v>
      </c>
      <c r="T22" s="38">
        <f t="shared" si="8"/>
        <v>1401</v>
      </c>
      <c r="U22" s="3"/>
      <c r="V22" s="72">
        <v>40.5</v>
      </c>
      <c r="W22" s="72">
        <v>119</v>
      </c>
      <c r="X22" s="72">
        <v>335</v>
      </c>
      <c r="Y22" s="72">
        <v>1195</v>
      </c>
    </row>
    <row r="23" spans="7:25" ht="14.45" customHeight="1">
      <c r="G23">
        <v>17</v>
      </c>
      <c r="H23" t="s">
        <v>389</v>
      </c>
      <c r="I23" s="72" t="s">
        <v>234</v>
      </c>
      <c r="J23" s="38">
        <f t="shared" si="2"/>
        <v>139</v>
      </c>
      <c r="K23" s="38">
        <f t="shared" si="3"/>
        <v>123</v>
      </c>
      <c r="L23" s="38">
        <f t="shared" si="4"/>
        <v>143</v>
      </c>
      <c r="M23" s="72" t="s">
        <v>278</v>
      </c>
      <c r="N23" s="38">
        <f t="shared" si="5"/>
        <v>380</v>
      </c>
      <c r="O23" s="38">
        <f t="shared" si="6"/>
        <v>329</v>
      </c>
      <c r="P23" s="38">
        <f t="shared" si="7"/>
        <v>399</v>
      </c>
      <c r="Q23" s="72" t="s">
        <v>334</v>
      </c>
      <c r="R23" s="38">
        <f t="shared" si="0"/>
        <v>1234</v>
      </c>
      <c r="S23" s="38">
        <f t="shared" si="1"/>
        <v>1110</v>
      </c>
      <c r="T23" s="38">
        <f t="shared" si="8"/>
        <v>1434</v>
      </c>
      <c r="U23" s="3"/>
      <c r="V23" s="72">
        <v>42.5</v>
      </c>
      <c r="W23" s="72">
        <v>124</v>
      </c>
      <c r="X23" s="72">
        <v>347</v>
      </c>
      <c r="Y23" s="72">
        <v>1240</v>
      </c>
    </row>
    <row r="24" spans="7:25">
      <c r="G24">
        <v>18</v>
      </c>
      <c r="H24" t="s">
        <v>390</v>
      </c>
      <c r="I24" s="72" t="s">
        <v>235</v>
      </c>
      <c r="J24" s="38">
        <f t="shared" si="2"/>
        <v>142</v>
      </c>
      <c r="K24" s="38">
        <f t="shared" si="3"/>
        <v>126</v>
      </c>
      <c r="L24" s="38">
        <f t="shared" si="4"/>
        <v>146</v>
      </c>
      <c r="M24" s="72" t="s">
        <v>279</v>
      </c>
      <c r="N24" s="38">
        <f t="shared" si="5"/>
        <v>389</v>
      </c>
      <c r="O24" s="38">
        <f t="shared" si="6"/>
        <v>338</v>
      </c>
      <c r="P24" s="38">
        <f t="shared" si="7"/>
        <v>408</v>
      </c>
      <c r="Q24" s="72" t="s">
        <v>335</v>
      </c>
      <c r="R24" s="38">
        <f t="shared" si="0"/>
        <v>1268</v>
      </c>
      <c r="S24" s="38">
        <f t="shared" si="1"/>
        <v>1144</v>
      </c>
      <c r="T24" s="38">
        <f t="shared" si="8"/>
        <v>1468</v>
      </c>
      <c r="U24" s="3"/>
      <c r="V24" s="72">
        <v>44</v>
      </c>
      <c r="W24" s="72">
        <v>128</v>
      </c>
      <c r="X24" s="72">
        <v>360</v>
      </c>
      <c r="Y24" s="72">
        <v>1285</v>
      </c>
    </row>
    <row r="25" spans="7:25" ht="14.45" customHeight="1">
      <c r="G25">
        <v>19</v>
      </c>
      <c r="H25" t="s">
        <v>391</v>
      </c>
      <c r="I25" s="72" t="s">
        <v>236</v>
      </c>
      <c r="J25" s="38">
        <f t="shared" si="2"/>
        <v>145</v>
      </c>
      <c r="K25" s="38">
        <f t="shared" si="3"/>
        <v>129</v>
      </c>
      <c r="L25" s="38">
        <f t="shared" si="4"/>
        <v>149</v>
      </c>
      <c r="M25" s="72" t="s">
        <v>280</v>
      </c>
      <c r="N25" s="38">
        <f t="shared" si="5"/>
        <v>399</v>
      </c>
      <c r="O25" s="38">
        <f t="shared" si="6"/>
        <v>348</v>
      </c>
      <c r="P25" s="38">
        <f t="shared" si="7"/>
        <v>418</v>
      </c>
      <c r="Q25" s="72" t="s">
        <v>336</v>
      </c>
      <c r="R25" s="38">
        <f t="shared" si="0"/>
        <v>1302</v>
      </c>
      <c r="S25" s="38">
        <f t="shared" si="1"/>
        <v>1178</v>
      </c>
      <c r="T25" s="38">
        <f t="shared" si="8"/>
        <v>1502</v>
      </c>
      <c r="U25" s="3"/>
      <c r="V25" s="72">
        <v>45.5</v>
      </c>
      <c r="W25" s="72">
        <v>133</v>
      </c>
      <c r="X25" s="72">
        <v>372</v>
      </c>
      <c r="Y25" s="72">
        <v>1329</v>
      </c>
    </row>
    <row r="26" spans="7:25">
      <c r="G26">
        <v>20</v>
      </c>
      <c r="H26" t="s">
        <v>392</v>
      </c>
      <c r="I26" s="72" t="s">
        <v>237</v>
      </c>
      <c r="J26" s="38">
        <f t="shared" si="2"/>
        <v>149</v>
      </c>
      <c r="K26" s="38">
        <f t="shared" si="3"/>
        <v>133</v>
      </c>
      <c r="L26" s="38">
        <f t="shared" si="4"/>
        <v>153</v>
      </c>
      <c r="M26" s="72" t="s">
        <v>281</v>
      </c>
      <c r="N26" s="38">
        <f t="shared" si="5"/>
        <v>408</v>
      </c>
      <c r="O26" s="38">
        <f t="shared" si="6"/>
        <v>357</v>
      </c>
      <c r="P26" s="38">
        <f t="shared" si="7"/>
        <v>427</v>
      </c>
      <c r="Q26" s="72" t="s">
        <v>337</v>
      </c>
      <c r="R26" s="38">
        <f t="shared" si="0"/>
        <v>1336</v>
      </c>
      <c r="S26" s="38">
        <f t="shared" si="1"/>
        <v>1212</v>
      </c>
      <c r="T26" s="38">
        <f t="shared" si="8"/>
        <v>1536</v>
      </c>
      <c r="U26" s="3"/>
      <c r="V26" s="72">
        <v>47</v>
      </c>
      <c r="W26" s="72">
        <v>137</v>
      </c>
      <c r="X26" s="72">
        <v>385</v>
      </c>
      <c r="Y26" s="72">
        <v>1374</v>
      </c>
    </row>
    <row r="27" spans="7:25">
      <c r="G27">
        <v>21</v>
      </c>
      <c r="H27" t="s">
        <v>393</v>
      </c>
      <c r="I27" s="72" t="s">
        <v>238</v>
      </c>
      <c r="J27" s="38">
        <f t="shared" si="2"/>
        <v>152</v>
      </c>
      <c r="K27" s="38">
        <f t="shared" si="3"/>
        <v>136</v>
      </c>
      <c r="L27" s="38">
        <f t="shared" si="4"/>
        <v>156</v>
      </c>
      <c r="M27" s="72" t="s">
        <v>282</v>
      </c>
      <c r="N27" s="38">
        <f t="shared" si="5"/>
        <v>418</v>
      </c>
      <c r="O27" s="38">
        <f t="shared" si="6"/>
        <v>367</v>
      </c>
      <c r="P27" s="38">
        <f t="shared" si="7"/>
        <v>437</v>
      </c>
      <c r="Q27" s="72" t="s">
        <v>338</v>
      </c>
      <c r="R27" s="38">
        <f t="shared" si="0"/>
        <v>1370</v>
      </c>
      <c r="S27" s="38">
        <f t="shared" si="1"/>
        <v>1246</v>
      </c>
      <c r="T27" s="38">
        <f t="shared" si="8"/>
        <v>1570</v>
      </c>
      <c r="U27" s="3"/>
      <c r="V27" s="72">
        <v>48.5</v>
      </c>
      <c r="W27" s="72">
        <v>142</v>
      </c>
      <c r="X27" s="72">
        <v>397</v>
      </c>
      <c r="Y27" s="72">
        <v>1419</v>
      </c>
    </row>
    <row r="28" spans="7:25">
      <c r="G28">
        <v>22</v>
      </c>
      <c r="H28" t="s">
        <v>394</v>
      </c>
      <c r="I28" s="72" t="s">
        <v>239</v>
      </c>
      <c r="J28" s="38">
        <f t="shared" si="2"/>
        <v>155</v>
      </c>
      <c r="K28" s="38">
        <f t="shared" si="3"/>
        <v>139</v>
      </c>
      <c r="L28" s="38">
        <f t="shared" si="4"/>
        <v>159</v>
      </c>
      <c r="M28" s="72" t="s">
        <v>283</v>
      </c>
      <c r="N28" s="38">
        <f t="shared" si="5"/>
        <v>427</v>
      </c>
      <c r="O28" s="38">
        <f t="shared" si="6"/>
        <v>376</v>
      </c>
      <c r="P28" s="38">
        <f t="shared" si="7"/>
        <v>446</v>
      </c>
      <c r="Q28" s="72" t="s">
        <v>339</v>
      </c>
      <c r="R28" s="38">
        <f t="shared" si="0"/>
        <v>1404</v>
      </c>
      <c r="S28" s="38">
        <f t="shared" si="1"/>
        <v>1280</v>
      </c>
      <c r="T28" s="38">
        <f t="shared" si="8"/>
        <v>1604</v>
      </c>
      <c r="U28" s="3"/>
      <c r="V28" s="72">
        <v>50</v>
      </c>
      <c r="W28" s="72">
        <v>146</v>
      </c>
      <c r="X28" s="72">
        <v>410</v>
      </c>
      <c r="Y28" s="72">
        <v>1464</v>
      </c>
    </row>
    <row r="29" spans="7:25">
      <c r="G29">
        <v>23</v>
      </c>
      <c r="H29" t="s">
        <v>395</v>
      </c>
      <c r="I29" s="72" t="s">
        <v>240</v>
      </c>
      <c r="J29" s="38">
        <f t="shared" si="2"/>
        <v>159</v>
      </c>
      <c r="K29" s="38">
        <f t="shared" si="3"/>
        <v>143</v>
      </c>
      <c r="L29" s="38">
        <f t="shared" si="4"/>
        <v>163</v>
      </c>
      <c r="M29" s="72" t="s">
        <v>284</v>
      </c>
      <c r="N29" s="38">
        <f t="shared" si="5"/>
        <v>437</v>
      </c>
      <c r="O29" s="38">
        <f t="shared" si="6"/>
        <v>386</v>
      </c>
      <c r="P29" s="38">
        <f t="shared" si="7"/>
        <v>456</v>
      </c>
      <c r="Q29" s="72" t="s">
        <v>340</v>
      </c>
      <c r="R29" s="38">
        <f t="shared" si="0"/>
        <v>1437</v>
      </c>
      <c r="S29" s="38">
        <f t="shared" si="1"/>
        <v>1313</v>
      </c>
      <c r="T29" s="38">
        <f t="shared" si="8"/>
        <v>1637</v>
      </c>
      <c r="U29" s="3"/>
      <c r="V29" s="72">
        <v>51</v>
      </c>
      <c r="W29" s="72">
        <v>151</v>
      </c>
      <c r="X29" s="72">
        <v>422</v>
      </c>
      <c r="Y29" s="72">
        <v>1509</v>
      </c>
    </row>
    <row r="30" spans="7:25">
      <c r="G30">
        <v>24</v>
      </c>
      <c r="H30" t="s">
        <v>396</v>
      </c>
      <c r="I30" s="72" t="s">
        <v>241</v>
      </c>
      <c r="J30" s="38">
        <f t="shared" si="2"/>
        <v>162</v>
      </c>
      <c r="K30" s="38">
        <f t="shared" si="3"/>
        <v>146</v>
      </c>
      <c r="L30" s="38">
        <f t="shared" si="4"/>
        <v>166</v>
      </c>
      <c r="M30" s="72" t="s">
        <v>285</v>
      </c>
      <c r="N30" s="38">
        <f t="shared" si="5"/>
        <v>446</v>
      </c>
      <c r="O30" s="38">
        <f t="shared" si="6"/>
        <v>395</v>
      </c>
      <c r="P30" s="38">
        <f t="shared" si="7"/>
        <v>465</v>
      </c>
      <c r="Q30" s="72" t="s">
        <v>341</v>
      </c>
      <c r="R30" s="38">
        <f t="shared" si="0"/>
        <v>1471</v>
      </c>
      <c r="S30" s="38">
        <f t="shared" si="1"/>
        <v>1347</v>
      </c>
      <c r="T30" s="38">
        <f t="shared" si="8"/>
        <v>1671</v>
      </c>
      <c r="U30" s="3"/>
      <c r="V30" s="72">
        <v>53</v>
      </c>
      <c r="W30" s="72">
        <v>155</v>
      </c>
      <c r="X30" s="72">
        <v>435</v>
      </c>
      <c r="Y30" s="72">
        <v>1554</v>
      </c>
    </row>
    <row r="31" spans="7:25">
      <c r="G31">
        <v>25</v>
      </c>
      <c r="H31" t="s">
        <v>397</v>
      </c>
      <c r="I31" s="72" t="s">
        <v>242</v>
      </c>
      <c r="J31" s="38">
        <f t="shared" si="2"/>
        <v>166</v>
      </c>
      <c r="K31" s="38">
        <f t="shared" si="3"/>
        <v>150</v>
      </c>
      <c r="L31" s="38">
        <f t="shared" si="4"/>
        <v>170</v>
      </c>
      <c r="M31" s="72" t="s">
        <v>286</v>
      </c>
      <c r="N31" s="38">
        <f t="shared" si="5"/>
        <v>456</v>
      </c>
      <c r="O31" s="38">
        <f t="shared" si="6"/>
        <v>405</v>
      </c>
      <c r="P31" s="38">
        <f t="shared" si="7"/>
        <v>475</v>
      </c>
      <c r="Q31" s="72" t="s">
        <v>342</v>
      </c>
      <c r="R31" s="38">
        <f t="shared" si="0"/>
        <v>1505</v>
      </c>
      <c r="S31" s="38">
        <f t="shared" si="1"/>
        <v>1381</v>
      </c>
      <c r="T31" s="38">
        <f t="shared" si="8"/>
        <v>1705</v>
      </c>
      <c r="U31" s="3"/>
      <c r="V31" s="72">
        <v>55</v>
      </c>
      <c r="W31" s="72">
        <v>160</v>
      </c>
      <c r="X31" s="72">
        <v>448</v>
      </c>
      <c r="Y31" s="72">
        <v>1599</v>
      </c>
    </row>
    <row r="32" spans="7:25">
      <c r="G32">
        <v>26</v>
      </c>
      <c r="H32" t="s">
        <v>398</v>
      </c>
      <c r="I32" s="72" t="s">
        <v>243</v>
      </c>
      <c r="J32" s="38">
        <f t="shared" si="2"/>
        <v>169</v>
      </c>
      <c r="K32" s="38">
        <f t="shared" si="3"/>
        <v>153</v>
      </c>
      <c r="L32" s="38">
        <f t="shared" si="4"/>
        <v>173</v>
      </c>
      <c r="M32" s="72" t="s">
        <v>287</v>
      </c>
      <c r="N32" s="38">
        <f t="shared" si="5"/>
        <v>465</v>
      </c>
      <c r="O32" s="38">
        <f t="shared" si="6"/>
        <v>414</v>
      </c>
      <c r="P32" s="38">
        <f t="shared" si="7"/>
        <v>484</v>
      </c>
      <c r="Q32" s="72" t="s">
        <v>343</v>
      </c>
      <c r="R32" s="38">
        <f t="shared" si="0"/>
        <v>1539</v>
      </c>
      <c r="S32" s="38">
        <f t="shared" si="1"/>
        <v>1415</v>
      </c>
      <c r="T32" s="38">
        <f t="shared" si="8"/>
        <v>1739</v>
      </c>
      <c r="U32" s="3"/>
      <c r="V32" s="72">
        <v>56</v>
      </c>
      <c r="W32" s="72">
        <v>164</v>
      </c>
      <c r="X32" s="72">
        <v>460</v>
      </c>
      <c r="Y32" s="72">
        <v>1643</v>
      </c>
    </row>
    <row r="33" spans="7:25">
      <c r="G33">
        <v>27</v>
      </c>
      <c r="H33" t="s">
        <v>399</v>
      </c>
      <c r="I33" s="72" t="s">
        <v>244</v>
      </c>
      <c r="J33" s="38">
        <f t="shared" si="2"/>
        <v>172</v>
      </c>
      <c r="K33" s="38">
        <f t="shared" si="3"/>
        <v>156</v>
      </c>
      <c r="L33" s="38">
        <f t="shared" si="4"/>
        <v>176</v>
      </c>
      <c r="M33" s="72" t="s">
        <v>288</v>
      </c>
      <c r="N33" s="38">
        <f t="shared" si="5"/>
        <v>475</v>
      </c>
      <c r="O33" s="38">
        <f t="shared" si="6"/>
        <v>424</v>
      </c>
      <c r="P33" s="38">
        <f t="shared" si="7"/>
        <v>494</v>
      </c>
      <c r="Q33" s="72" t="s">
        <v>344</v>
      </c>
      <c r="R33" s="38">
        <f t="shared" si="0"/>
        <v>1573</v>
      </c>
      <c r="S33" s="38">
        <f t="shared" si="1"/>
        <v>1449</v>
      </c>
      <c r="T33" s="38">
        <f t="shared" si="8"/>
        <v>1773</v>
      </c>
      <c r="U33" s="3"/>
      <c r="V33" s="72">
        <v>58</v>
      </c>
      <c r="W33" s="72">
        <v>169</v>
      </c>
      <c r="X33" s="72">
        <v>473</v>
      </c>
      <c r="Y33" s="72">
        <v>1688</v>
      </c>
    </row>
    <row r="34" spans="7:25">
      <c r="G34">
        <v>28</v>
      </c>
      <c r="H34" t="s">
        <v>400</v>
      </c>
      <c r="I34" s="72" t="s">
        <v>245</v>
      </c>
      <c r="J34" s="38">
        <f t="shared" si="2"/>
        <v>176</v>
      </c>
      <c r="K34" s="38">
        <f t="shared" si="3"/>
        <v>160</v>
      </c>
      <c r="L34" s="38">
        <f t="shared" si="4"/>
        <v>180</v>
      </c>
      <c r="M34" s="72" t="s">
        <v>289</v>
      </c>
      <c r="N34" s="38">
        <f t="shared" si="5"/>
        <v>484</v>
      </c>
      <c r="O34" s="38">
        <f t="shared" si="6"/>
        <v>433</v>
      </c>
      <c r="P34" s="38">
        <f t="shared" si="7"/>
        <v>503</v>
      </c>
      <c r="Q34" s="72" t="s">
        <v>345</v>
      </c>
      <c r="R34" s="38">
        <f t="shared" si="0"/>
        <v>1607</v>
      </c>
      <c r="S34" s="38">
        <f t="shared" si="1"/>
        <v>1483</v>
      </c>
      <c r="T34" s="38">
        <f t="shared" si="8"/>
        <v>1807</v>
      </c>
      <c r="U34" s="3"/>
      <c r="V34" s="72">
        <v>59</v>
      </c>
      <c r="W34" s="72">
        <v>173</v>
      </c>
      <c r="X34" s="72">
        <v>485</v>
      </c>
      <c r="Y34" s="72">
        <v>1733</v>
      </c>
    </row>
    <row r="35" spans="7:25">
      <c r="G35">
        <v>29</v>
      </c>
      <c r="H35" t="s">
        <v>401</v>
      </c>
      <c r="I35" s="72" t="s">
        <v>246</v>
      </c>
      <c r="J35" s="38">
        <f t="shared" si="2"/>
        <v>179</v>
      </c>
      <c r="K35" s="38">
        <f t="shared" si="3"/>
        <v>163</v>
      </c>
      <c r="L35" s="38">
        <f t="shared" si="4"/>
        <v>183</v>
      </c>
      <c r="M35" s="72" t="s">
        <v>290</v>
      </c>
      <c r="N35" s="38">
        <f t="shared" si="5"/>
        <v>494</v>
      </c>
      <c r="O35" s="38">
        <f t="shared" si="6"/>
        <v>443</v>
      </c>
      <c r="P35" s="38">
        <f t="shared" si="7"/>
        <v>513</v>
      </c>
      <c r="Q35" s="72" t="s">
        <v>346</v>
      </c>
      <c r="R35" s="38">
        <f t="shared" si="0"/>
        <v>1640</v>
      </c>
      <c r="S35" s="38">
        <f t="shared" si="1"/>
        <v>1516</v>
      </c>
      <c r="T35" s="38">
        <f t="shared" si="8"/>
        <v>1840</v>
      </c>
      <c r="U35" s="3"/>
      <c r="V35" s="72">
        <v>61</v>
      </c>
      <c r="W35" s="72">
        <v>178</v>
      </c>
      <c r="X35" s="72">
        <v>498</v>
      </c>
      <c r="Y35" s="72">
        <v>1778</v>
      </c>
    </row>
    <row r="36" spans="7:25">
      <c r="G36">
        <v>30</v>
      </c>
      <c r="H36" t="s">
        <v>402</v>
      </c>
      <c r="I36" s="72" t="s">
        <v>247</v>
      </c>
      <c r="J36" s="38">
        <f t="shared" si="2"/>
        <v>183</v>
      </c>
      <c r="K36" s="38">
        <f t="shared" si="3"/>
        <v>167</v>
      </c>
      <c r="L36" s="38">
        <f t="shared" si="4"/>
        <v>187</v>
      </c>
      <c r="M36" s="72" t="s">
        <v>291</v>
      </c>
      <c r="N36" s="38">
        <f t="shared" si="5"/>
        <v>503</v>
      </c>
      <c r="O36" s="38">
        <f t="shared" si="6"/>
        <v>452</v>
      </c>
      <c r="P36" s="38">
        <f t="shared" si="7"/>
        <v>522</v>
      </c>
      <c r="Q36" s="72" t="s">
        <v>347</v>
      </c>
      <c r="R36" s="38">
        <f t="shared" si="0"/>
        <v>1674</v>
      </c>
      <c r="S36" s="38">
        <f t="shared" si="1"/>
        <v>1550</v>
      </c>
      <c r="T36" s="38">
        <f t="shared" si="8"/>
        <v>1874</v>
      </c>
      <c r="U36" s="3"/>
      <c r="V36" s="72">
        <v>62</v>
      </c>
      <c r="W36" s="72">
        <v>182</v>
      </c>
      <c r="X36" s="72">
        <v>510</v>
      </c>
      <c r="Y36" s="72">
        <v>1823</v>
      </c>
    </row>
    <row r="37" spans="7:25">
      <c r="G37">
        <v>31</v>
      </c>
      <c r="H37" t="s">
        <v>221</v>
      </c>
      <c r="I37" s="72" t="s">
        <v>248</v>
      </c>
      <c r="J37" s="38">
        <f t="shared" si="2"/>
        <v>188</v>
      </c>
      <c r="K37" s="38">
        <f t="shared" si="3"/>
        <v>172</v>
      </c>
      <c r="L37" s="38">
        <f t="shared" si="4"/>
        <v>192</v>
      </c>
      <c r="M37" s="72" t="s">
        <v>292</v>
      </c>
      <c r="N37" s="38">
        <f t="shared" si="5"/>
        <v>519</v>
      </c>
      <c r="O37" s="38">
        <f t="shared" si="6"/>
        <v>468</v>
      </c>
      <c r="P37" s="38">
        <f t="shared" si="7"/>
        <v>538</v>
      </c>
      <c r="Q37" s="72" t="s">
        <v>348</v>
      </c>
      <c r="R37" s="38">
        <f t="shared" si="0"/>
        <v>1730</v>
      </c>
      <c r="S37" s="38">
        <f t="shared" si="1"/>
        <v>1606</v>
      </c>
      <c r="T37" s="38">
        <f t="shared" si="8"/>
        <v>1930</v>
      </c>
      <c r="U37" s="3"/>
      <c r="V37" s="72">
        <v>65</v>
      </c>
      <c r="W37" s="72">
        <v>190</v>
      </c>
      <c r="X37" s="72">
        <v>531</v>
      </c>
      <c r="Y37" s="72">
        <v>1896</v>
      </c>
    </row>
    <row r="38" spans="7:25">
      <c r="G38">
        <v>32</v>
      </c>
      <c r="H38" t="s">
        <v>221</v>
      </c>
      <c r="I38" s="72" t="s">
        <v>248</v>
      </c>
      <c r="J38" s="38">
        <f t="shared" ref="J38:J39" si="9">I38+$AD$9</f>
        <v>188</v>
      </c>
      <c r="K38" s="38">
        <f t="shared" ref="K38:K39" si="10">I38+$AD$10</f>
        <v>172</v>
      </c>
      <c r="L38" s="38">
        <f t="shared" ref="L38:L39" si="11">I38+$AD$14</f>
        <v>192</v>
      </c>
      <c r="M38" s="72" t="s">
        <v>292</v>
      </c>
      <c r="N38" s="38">
        <f t="shared" ref="N38:N39" si="12">M38+$AE$9</f>
        <v>519</v>
      </c>
      <c r="O38" s="38">
        <f t="shared" ref="O38:O39" si="13">M38+$AE$10</f>
        <v>468</v>
      </c>
      <c r="P38" s="38">
        <f t="shared" ref="P38:P39" si="14">M38+$AE$14</f>
        <v>538</v>
      </c>
      <c r="Q38" s="72" t="s">
        <v>348</v>
      </c>
      <c r="R38" s="38">
        <f t="shared" ref="R38:R39" si="15">Q38+$AF$9</f>
        <v>1730</v>
      </c>
      <c r="S38" s="38">
        <f t="shared" ref="S38:S39" si="16">Q38+$AF$10</f>
        <v>1606</v>
      </c>
      <c r="T38" s="38">
        <f t="shared" ref="T38:T39" si="17">Q38+$AF$14</f>
        <v>1930</v>
      </c>
      <c r="U38" s="3"/>
      <c r="V38" s="72">
        <v>65</v>
      </c>
      <c r="W38" s="72">
        <v>190</v>
      </c>
      <c r="X38" s="72">
        <v>531</v>
      </c>
      <c r="Y38" s="72">
        <v>1896</v>
      </c>
    </row>
    <row r="39" spans="7:25">
      <c r="G39">
        <v>33</v>
      </c>
      <c r="H39" t="s">
        <v>221</v>
      </c>
      <c r="I39" s="72" t="s">
        <v>248</v>
      </c>
      <c r="J39" s="38">
        <f t="shared" si="9"/>
        <v>188</v>
      </c>
      <c r="K39" s="38">
        <f t="shared" si="10"/>
        <v>172</v>
      </c>
      <c r="L39" s="38">
        <f t="shared" si="11"/>
        <v>192</v>
      </c>
      <c r="M39" s="72" t="s">
        <v>292</v>
      </c>
      <c r="N39" s="38">
        <f t="shared" si="12"/>
        <v>519</v>
      </c>
      <c r="O39" s="38">
        <f t="shared" si="13"/>
        <v>468</v>
      </c>
      <c r="P39" s="38">
        <f t="shared" si="14"/>
        <v>538</v>
      </c>
      <c r="Q39" s="72" t="s">
        <v>348</v>
      </c>
      <c r="R39" s="38">
        <f t="shared" si="15"/>
        <v>1730</v>
      </c>
      <c r="S39" s="38">
        <f t="shared" si="16"/>
        <v>1606</v>
      </c>
      <c r="T39" s="38">
        <f t="shared" si="17"/>
        <v>1930</v>
      </c>
      <c r="U39" s="3"/>
      <c r="V39" s="72">
        <v>65</v>
      </c>
      <c r="W39" s="72">
        <v>190</v>
      </c>
      <c r="X39" s="72">
        <v>531</v>
      </c>
      <c r="Y39" s="72">
        <v>1896</v>
      </c>
    </row>
    <row r="40" spans="7:25">
      <c r="G40">
        <v>34</v>
      </c>
      <c r="H40" t="s">
        <v>403</v>
      </c>
      <c r="I40" s="72" t="s">
        <v>249</v>
      </c>
      <c r="J40" s="38">
        <f t="shared" si="2"/>
        <v>196</v>
      </c>
      <c r="K40" s="38">
        <f t="shared" si="3"/>
        <v>180</v>
      </c>
      <c r="L40" s="38">
        <f t="shared" si="4"/>
        <v>200</v>
      </c>
      <c r="M40" s="72" t="s">
        <v>293</v>
      </c>
      <c r="N40" s="38">
        <f t="shared" ref="N40:N67" si="18">M40+$AE$9</f>
        <v>542</v>
      </c>
      <c r="O40" s="38">
        <f t="shared" ref="O40:O67" si="19">M40+$AE$10</f>
        <v>491</v>
      </c>
      <c r="P40" s="38">
        <f t="shared" si="7"/>
        <v>561</v>
      </c>
      <c r="Q40" s="72" t="s">
        <v>349</v>
      </c>
      <c r="R40" s="38">
        <f t="shared" ref="R40:R67" si="20">Q40+$AF$9</f>
        <v>1813</v>
      </c>
      <c r="S40" s="38">
        <f t="shared" ref="S40:S67" si="21">Q40+$AF$10</f>
        <v>1689</v>
      </c>
      <c r="T40" s="38">
        <f t="shared" si="8"/>
        <v>2013</v>
      </c>
      <c r="U40" s="3"/>
      <c r="V40" s="72">
        <v>68</v>
      </c>
      <c r="W40" s="72">
        <v>201</v>
      </c>
      <c r="X40" s="72">
        <v>562</v>
      </c>
      <c r="Y40" s="72">
        <v>2006</v>
      </c>
    </row>
    <row r="41" spans="7:25">
      <c r="G41">
        <v>35</v>
      </c>
      <c r="H41" t="s">
        <v>403</v>
      </c>
      <c r="I41" s="72" t="s">
        <v>249</v>
      </c>
      <c r="J41" s="38">
        <f t="shared" ref="J41:J42" si="22">I41+$AD$9</f>
        <v>196</v>
      </c>
      <c r="K41" s="38">
        <f t="shared" ref="K41:K42" si="23">I41+$AD$10</f>
        <v>180</v>
      </c>
      <c r="L41" s="38">
        <f t="shared" ref="L41:L42" si="24">I41+$AD$14</f>
        <v>200</v>
      </c>
      <c r="M41" s="72" t="s">
        <v>293</v>
      </c>
      <c r="N41" s="38">
        <f t="shared" ref="N41:N42" si="25">M41+$AE$9</f>
        <v>542</v>
      </c>
      <c r="O41" s="38">
        <f t="shared" ref="O41:O42" si="26">M41+$AE$10</f>
        <v>491</v>
      </c>
      <c r="P41" s="38">
        <f t="shared" ref="P41:P42" si="27">M41+$AE$14</f>
        <v>561</v>
      </c>
      <c r="Q41" s="72" t="s">
        <v>349</v>
      </c>
      <c r="R41" s="38">
        <f t="shared" ref="R41:R42" si="28">Q41+$AF$9</f>
        <v>1813</v>
      </c>
      <c r="S41" s="38">
        <f t="shared" ref="S41:S42" si="29">Q41+$AF$10</f>
        <v>1689</v>
      </c>
      <c r="T41" s="38">
        <f t="shared" ref="T41:T42" si="30">Q41+$AF$14</f>
        <v>2013</v>
      </c>
      <c r="U41" s="3"/>
      <c r="V41" s="72">
        <v>68</v>
      </c>
      <c r="W41" s="72">
        <v>201</v>
      </c>
      <c r="X41" s="72">
        <v>562</v>
      </c>
      <c r="Y41" s="72">
        <v>2006</v>
      </c>
    </row>
    <row r="42" spans="7:25">
      <c r="G42">
        <v>36</v>
      </c>
      <c r="H42" t="s">
        <v>403</v>
      </c>
      <c r="I42" s="72" t="s">
        <v>249</v>
      </c>
      <c r="J42" s="38">
        <f t="shared" si="22"/>
        <v>196</v>
      </c>
      <c r="K42" s="38">
        <f t="shared" si="23"/>
        <v>180</v>
      </c>
      <c r="L42" s="38">
        <f t="shared" si="24"/>
        <v>200</v>
      </c>
      <c r="M42" s="72" t="s">
        <v>293</v>
      </c>
      <c r="N42" s="38">
        <f t="shared" si="25"/>
        <v>542</v>
      </c>
      <c r="O42" s="38">
        <f t="shared" si="26"/>
        <v>491</v>
      </c>
      <c r="P42" s="38">
        <f t="shared" si="27"/>
        <v>561</v>
      </c>
      <c r="Q42" s="72" t="s">
        <v>349</v>
      </c>
      <c r="R42" s="38">
        <f t="shared" si="28"/>
        <v>1813</v>
      </c>
      <c r="S42" s="38">
        <f t="shared" si="29"/>
        <v>1689</v>
      </c>
      <c r="T42" s="38">
        <f t="shared" si="30"/>
        <v>2013</v>
      </c>
      <c r="U42" s="3"/>
      <c r="V42" s="72">
        <v>68</v>
      </c>
      <c r="W42" s="72">
        <v>201</v>
      </c>
      <c r="X42" s="72">
        <v>562</v>
      </c>
      <c r="Y42" s="72">
        <v>2006</v>
      </c>
    </row>
    <row r="43" spans="7:25">
      <c r="G43">
        <v>37</v>
      </c>
      <c r="H43" t="s">
        <v>404</v>
      </c>
      <c r="I43" s="72" t="s">
        <v>250</v>
      </c>
      <c r="J43" s="38">
        <f t="shared" si="2"/>
        <v>205</v>
      </c>
      <c r="K43" s="38">
        <f t="shared" si="3"/>
        <v>189</v>
      </c>
      <c r="L43" s="38">
        <f t="shared" si="4"/>
        <v>209</v>
      </c>
      <c r="M43" s="72" t="s">
        <v>294</v>
      </c>
      <c r="N43" s="38">
        <f t="shared" si="18"/>
        <v>565</v>
      </c>
      <c r="O43" s="38">
        <f t="shared" si="19"/>
        <v>514</v>
      </c>
      <c r="P43" s="38">
        <f t="shared" si="7"/>
        <v>584</v>
      </c>
      <c r="Q43" s="72" t="s">
        <v>350</v>
      </c>
      <c r="R43" s="38">
        <f t="shared" si="20"/>
        <v>1896</v>
      </c>
      <c r="S43" s="38">
        <f t="shared" si="21"/>
        <v>1772</v>
      </c>
      <c r="T43" s="38">
        <f t="shared" si="8"/>
        <v>2096</v>
      </c>
      <c r="U43" s="3"/>
      <c r="V43" s="72">
        <v>72</v>
      </c>
      <c r="W43" s="72">
        <v>212</v>
      </c>
      <c r="X43" s="72">
        <v>593</v>
      </c>
      <c r="Y43" s="72">
        <v>2116</v>
      </c>
    </row>
    <row r="44" spans="7:25">
      <c r="G44">
        <v>38</v>
      </c>
      <c r="H44" t="s">
        <v>404</v>
      </c>
      <c r="I44" s="72" t="s">
        <v>250</v>
      </c>
      <c r="J44" s="38">
        <f t="shared" ref="J44:J45" si="31">I44+$AD$9</f>
        <v>205</v>
      </c>
      <c r="K44" s="38">
        <f t="shared" ref="K44:K45" si="32">I44+$AD$10</f>
        <v>189</v>
      </c>
      <c r="L44" s="38">
        <f t="shared" ref="L44:L45" si="33">I44+$AD$14</f>
        <v>209</v>
      </c>
      <c r="M44" s="72" t="s">
        <v>294</v>
      </c>
      <c r="N44" s="38">
        <f t="shared" ref="N44:N45" si="34">M44+$AE$9</f>
        <v>565</v>
      </c>
      <c r="O44" s="38">
        <f t="shared" ref="O44:O45" si="35">M44+$AE$10</f>
        <v>514</v>
      </c>
      <c r="P44" s="38">
        <f t="shared" ref="P44:P45" si="36">M44+$AE$14</f>
        <v>584</v>
      </c>
      <c r="Q44" s="72" t="s">
        <v>350</v>
      </c>
      <c r="R44" s="38">
        <f t="shared" ref="R44:R45" si="37">Q44+$AF$9</f>
        <v>1896</v>
      </c>
      <c r="S44" s="38">
        <f t="shared" ref="S44:S45" si="38">Q44+$AF$10</f>
        <v>1772</v>
      </c>
      <c r="T44" s="38">
        <f t="shared" ref="T44:T45" si="39">Q44+$AF$14</f>
        <v>2096</v>
      </c>
      <c r="U44" s="3"/>
      <c r="V44" s="72">
        <v>72</v>
      </c>
      <c r="W44" s="72">
        <v>212</v>
      </c>
      <c r="X44" s="72">
        <v>593</v>
      </c>
      <c r="Y44" s="72">
        <v>2116</v>
      </c>
    </row>
    <row r="45" spans="7:25">
      <c r="G45">
        <v>39</v>
      </c>
      <c r="H45" t="s">
        <v>404</v>
      </c>
      <c r="I45" s="72" t="s">
        <v>250</v>
      </c>
      <c r="J45" s="38">
        <f t="shared" si="31"/>
        <v>205</v>
      </c>
      <c r="K45" s="38">
        <f t="shared" si="32"/>
        <v>189</v>
      </c>
      <c r="L45" s="38">
        <f t="shared" si="33"/>
        <v>209</v>
      </c>
      <c r="M45" s="72" t="s">
        <v>294</v>
      </c>
      <c r="N45" s="38">
        <f t="shared" si="34"/>
        <v>565</v>
      </c>
      <c r="O45" s="38">
        <f t="shared" si="35"/>
        <v>514</v>
      </c>
      <c r="P45" s="38">
        <f t="shared" si="36"/>
        <v>584</v>
      </c>
      <c r="Q45" s="72" t="s">
        <v>350</v>
      </c>
      <c r="R45" s="38">
        <f t="shared" si="37"/>
        <v>1896</v>
      </c>
      <c r="S45" s="38">
        <f t="shared" si="38"/>
        <v>1772</v>
      </c>
      <c r="T45" s="38">
        <f t="shared" si="39"/>
        <v>2096</v>
      </c>
      <c r="U45" s="3"/>
      <c r="V45" s="72">
        <v>72</v>
      </c>
      <c r="W45" s="72">
        <v>212</v>
      </c>
      <c r="X45" s="72">
        <v>593</v>
      </c>
      <c r="Y45" s="72">
        <v>2116</v>
      </c>
    </row>
    <row r="46" spans="7:25">
      <c r="G46">
        <v>40</v>
      </c>
      <c r="H46" t="s">
        <v>405</v>
      </c>
      <c r="I46" s="72" t="s">
        <v>251</v>
      </c>
      <c r="J46" s="38">
        <f t="shared" si="2"/>
        <v>213</v>
      </c>
      <c r="K46" s="38">
        <f t="shared" si="3"/>
        <v>197</v>
      </c>
      <c r="L46" s="38">
        <f t="shared" si="4"/>
        <v>217</v>
      </c>
      <c r="M46" s="72" t="s">
        <v>295</v>
      </c>
      <c r="N46" s="38">
        <f t="shared" si="18"/>
        <v>588</v>
      </c>
      <c r="O46" s="38">
        <f t="shared" si="19"/>
        <v>537</v>
      </c>
      <c r="P46" s="38">
        <f t="shared" si="7"/>
        <v>607</v>
      </c>
      <c r="Q46" s="72" t="s">
        <v>351</v>
      </c>
      <c r="R46" s="38">
        <f t="shared" si="20"/>
        <v>1979</v>
      </c>
      <c r="S46" s="38">
        <f t="shared" si="21"/>
        <v>1855</v>
      </c>
      <c r="T46" s="38">
        <f t="shared" si="8"/>
        <v>2179</v>
      </c>
      <c r="U46" s="3"/>
      <c r="V46" s="72">
        <v>76</v>
      </c>
      <c r="W46" s="72">
        <v>223</v>
      </c>
      <c r="X46" s="72">
        <v>623</v>
      </c>
      <c r="Y46" s="72">
        <v>2226</v>
      </c>
    </row>
    <row r="47" spans="7:25">
      <c r="G47">
        <v>41</v>
      </c>
      <c r="H47" t="s">
        <v>405</v>
      </c>
      <c r="I47" s="72" t="s">
        <v>251</v>
      </c>
      <c r="J47" s="38">
        <f t="shared" ref="J47:J48" si="40">I47+$AD$9</f>
        <v>213</v>
      </c>
      <c r="K47" s="38">
        <f t="shared" ref="K47:K48" si="41">I47+$AD$10</f>
        <v>197</v>
      </c>
      <c r="L47" s="38">
        <f t="shared" ref="L47:L48" si="42">I47+$AD$14</f>
        <v>217</v>
      </c>
      <c r="M47" s="72" t="s">
        <v>295</v>
      </c>
      <c r="N47" s="38">
        <f t="shared" ref="N47:N48" si="43">M47+$AE$9</f>
        <v>588</v>
      </c>
      <c r="O47" s="38">
        <f t="shared" ref="O47:O48" si="44">M47+$AE$10</f>
        <v>537</v>
      </c>
      <c r="P47" s="38">
        <f t="shared" ref="P47:P48" si="45">M47+$AE$14</f>
        <v>607</v>
      </c>
      <c r="Q47" s="72" t="s">
        <v>351</v>
      </c>
      <c r="R47" s="38">
        <f t="shared" ref="R47:R48" si="46">Q47+$AF$9</f>
        <v>1979</v>
      </c>
      <c r="S47" s="38">
        <f t="shared" ref="S47:S48" si="47">Q47+$AF$10</f>
        <v>1855</v>
      </c>
      <c r="T47" s="38">
        <f t="shared" ref="T47:T48" si="48">Q47+$AF$14</f>
        <v>2179</v>
      </c>
      <c r="U47" s="3"/>
      <c r="V47" s="72">
        <v>76</v>
      </c>
      <c r="W47" s="72">
        <v>223</v>
      </c>
      <c r="X47" s="72">
        <v>623</v>
      </c>
      <c r="Y47" s="72">
        <v>2226</v>
      </c>
    </row>
    <row r="48" spans="7:25">
      <c r="G48">
        <v>42</v>
      </c>
      <c r="H48" t="s">
        <v>405</v>
      </c>
      <c r="I48" s="72" t="s">
        <v>251</v>
      </c>
      <c r="J48" s="38">
        <f t="shared" si="40"/>
        <v>213</v>
      </c>
      <c r="K48" s="38">
        <f t="shared" si="41"/>
        <v>197</v>
      </c>
      <c r="L48" s="38">
        <f t="shared" si="42"/>
        <v>217</v>
      </c>
      <c r="M48" s="72" t="s">
        <v>295</v>
      </c>
      <c r="N48" s="38">
        <f t="shared" si="43"/>
        <v>588</v>
      </c>
      <c r="O48" s="38">
        <f t="shared" si="44"/>
        <v>537</v>
      </c>
      <c r="P48" s="38">
        <f t="shared" si="45"/>
        <v>607</v>
      </c>
      <c r="Q48" s="72" t="s">
        <v>351</v>
      </c>
      <c r="R48" s="38">
        <f t="shared" si="46"/>
        <v>1979</v>
      </c>
      <c r="S48" s="38">
        <f t="shared" si="47"/>
        <v>1855</v>
      </c>
      <c r="T48" s="38">
        <f t="shared" si="48"/>
        <v>2179</v>
      </c>
      <c r="U48" s="3"/>
      <c r="V48" s="72">
        <v>76</v>
      </c>
      <c r="W48" s="72">
        <v>223</v>
      </c>
      <c r="X48" s="72">
        <v>623</v>
      </c>
      <c r="Y48" s="72">
        <v>2226</v>
      </c>
    </row>
    <row r="49" spans="7:25">
      <c r="G49">
        <v>43</v>
      </c>
      <c r="H49" t="s">
        <v>224</v>
      </c>
      <c r="I49" s="72" t="s">
        <v>174</v>
      </c>
      <c r="J49" s="38">
        <f t="shared" si="2"/>
        <v>221</v>
      </c>
      <c r="K49" s="38">
        <f t="shared" si="3"/>
        <v>205</v>
      </c>
      <c r="L49" s="38">
        <f t="shared" si="4"/>
        <v>225</v>
      </c>
      <c r="M49" s="72" t="s">
        <v>296</v>
      </c>
      <c r="N49" s="38">
        <f t="shared" si="18"/>
        <v>612</v>
      </c>
      <c r="O49" s="38">
        <f t="shared" si="19"/>
        <v>561</v>
      </c>
      <c r="P49" s="38">
        <f t="shared" si="7"/>
        <v>631</v>
      </c>
      <c r="Q49" s="72" t="s">
        <v>352</v>
      </c>
      <c r="R49" s="38">
        <f t="shared" si="20"/>
        <v>2062</v>
      </c>
      <c r="S49" s="38">
        <f t="shared" si="21"/>
        <v>1938</v>
      </c>
      <c r="T49" s="38">
        <f t="shared" si="8"/>
        <v>2262</v>
      </c>
      <c r="U49" s="3"/>
      <c r="V49" s="72">
        <v>80</v>
      </c>
      <c r="W49" s="72">
        <v>234</v>
      </c>
      <c r="X49" s="72">
        <v>654</v>
      </c>
      <c r="Y49" s="72">
        <v>2336</v>
      </c>
    </row>
    <row r="50" spans="7:25">
      <c r="G50">
        <v>44</v>
      </c>
      <c r="H50" t="s">
        <v>224</v>
      </c>
      <c r="I50" s="72" t="s">
        <v>174</v>
      </c>
      <c r="J50" s="38">
        <f t="shared" ref="J50:J51" si="49">I50+$AD$9</f>
        <v>221</v>
      </c>
      <c r="K50" s="38">
        <f t="shared" ref="K50:K51" si="50">I50+$AD$10</f>
        <v>205</v>
      </c>
      <c r="L50" s="38">
        <f t="shared" ref="L50:L51" si="51">I50+$AD$14</f>
        <v>225</v>
      </c>
      <c r="M50" s="72" t="s">
        <v>296</v>
      </c>
      <c r="N50" s="38">
        <f t="shared" ref="N50:N51" si="52">M50+$AE$9</f>
        <v>612</v>
      </c>
      <c r="O50" s="38">
        <f t="shared" ref="O50:O51" si="53">M50+$AE$10</f>
        <v>561</v>
      </c>
      <c r="P50" s="38">
        <f t="shared" ref="P50:P51" si="54">M50+$AE$14</f>
        <v>631</v>
      </c>
      <c r="Q50" s="72" t="s">
        <v>352</v>
      </c>
      <c r="R50" s="38">
        <f t="shared" ref="R50:R51" si="55">Q50+$AF$9</f>
        <v>2062</v>
      </c>
      <c r="S50" s="38">
        <f t="shared" ref="S50:S51" si="56">Q50+$AF$10</f>
        <v>1938</v>
      </c>
      <c r="T50" s="38">
        <f t="shared" ref="T50:T51" si="57">Q50+$AF$14</f>
        <v>2262</v>
      </c>
      <c r="U50" s="3"/>
      <c r="V50" s="72">
        <v>80</v>
      </c>
      <c r="W50" s="72">
        <v>234</v>
      </c>
      <c r="X50" s="72">
        <v>654</v>
      </c>
      <c r="Y50" s="72">
        <v>2336</v>
      </c>
    </row>
    <row r="51" spans="7:25">
      <c r="G51">
        <v>45</v>
      </c>
      <c r="H51" t="s">
        <v>224</v>
      </c>
      <c r="I51" s="72" t="s">
        <v>174</v>
      </c>
      <c r="J51" s="38">
        <f t="shared" si="49"/>
        <v>221</v>
      </c>
      <c r="K51" s="38">
        <f t="shared" si="50"/>
        <v>205</v>
      </c>
      <c r="L51" s="38">
        <f t="shared" si="51"/>
        <v>225</v>
      </c>
      <c r="M51" s="72" t="s">
        <v>296</v>
      </c>
      <c r="N51" s="38">
        <f t="shared" si="52"/>
        <v>612</v>
      </c>
      <c r="O51" s="38">
        <f t="shared" si="53"/>
        <v>561</v>
      </c>
      <c r="P51" s="38">
        <f t="shared" si="54"/>
        <v>631</v>
      </c>
      <c r="Q51" s="72" t="s">
        <v>352</v>
      </c>
      <c r="R51" s="38">
        <f t="shared" si="55"/>
        <v>2062</v>
      </c>
      <c r="S51" s="38">
        <f t="shared" si="56"/>
        <v>1938</v>
      </c>
      <c r="T51" s="38">
        <f t="shared" si="57"/>
        <v>2262</v>
      </c>
      <c r="U51" s="3"/>
      <c r="V51" s="72">
        <v>80</v>
      </c>
      <c r="W51" s="72">
        <v>234</v>
      </c>
      <c r="X51" s="72">
        <v>654</v>
      </c>
      <c r="Y51" s="72">
        <v>2336</v>
      </c>
    </row>
    <row r="52" spans="7:25">
      <c r="G52">
        <v>46</v>
      </c>
      <c r="H52" t="s">
        <v>225</v>
      </c>
      <c r="I52" s="72" t="s">
        <v>252</v>
      </c>
      <c r="J52" s="38">
        <f t="shared" si="2"/>
        <v>230</v>
      </c>
      <c r="K52" s="38">
        <f t="shared" si="3"/>
        <v>214</v>
      </c>
      <c r="L52" s="38">
        <f t="shared" si="4"/>
        <v>234</v>
      </c>
      <c r="M52" s="72" t="s">
        <v>297</v>
      </c>
      <c r="N52" s="38">
        <f t="shared" si="18"/>
        <v>635</v>
      </c>
      <c r="O52" s="38">
        <f t="shared" si="19"/>
        <v>584</v>
      </c>
      <c r="P52" s="38">
        <f t="shared" si="7"/>
        <v>654</v>
      </c>
      <c r="Q52" s="72" t="s">
        <v>353</v>
      </c>
      <c r="R52" s="38">
        <f t="shared" si="20"/>
        <v>2145</v>
      </c>
      <c r="S52" s="38">
        <f t="shared" si="21"/>
        <v>2021</v>
      </c>
      <c r="T52" s="38">
        <f t="shared" si="8"/>
        <v>2345</v>
      </c>
      <c r="U52" s="3"/>
      <c r="V52" s="72">
        <v>83</v>
      </c>
      <c r="W52" s="72">
        <v>245</v>
      </c>
      <c r="X52" s="72">
        <v>685</v>
      </c>
      <c r="Y52" s="72">
        <v>2446</v>
      </c>
    </row>
    <row r="53" spans="7:25">
      <c r="G53">
        <v>47</v>
      </c>
      <c r="H53" t="s">
        <v>225</v>
      </c>
      <c r="I53" s="72" t="s">
        <v>252</v>
      </c>
      <c r="J53" s="38">
        <f t="shared" ref="J53:J54" si="58">I53+$AD$9</f>
        <v>230</v>
      </c>
      <c r="K53" s="38">
        <f t="shared" ref="K53:K54" si="59">I53+$AD$10</f>
        <v>214</v>
      </c>
      <c r="L53" s="38">
        <f t="shared" ref="L53:L54" si="60">I53+$AD$14</f>
        <v>234</v>
      </c>
      <c r="M53" s="72" t="s">
        <v>297</v>
      </c>
      <c r="N53" s="38">
        <f t="shared" ref="N53:N54" si="61">M53+$AE$9</f>
        <v>635</v>
      </c>
      <c r="O53" s="38">
        <f t="shared" ref="O53:O54" si="62">M53+$AE$10</f>
        <v>584</v>
      </c>
      <c r="P53" s="38">
        <f t="shared" ref="P53:P54" si="63">M53+$AE$14</f>
        <v>654</v>
      </c>
      <c r="Q53" s="72" t="s">
        <v>353</v>
      </c>
      <c r="R53" s="38">
        <f t="shared" ref="R53:R54" si="64">Q53+$AF$9</f>
        <v>2145</v>
      </c>
      <c r="S53" s="38">
        <f t="shared" ref="S53:S54" si="65">Q53+$AF$10</f>
        <v>2021</v>
      </c>
      <c r="T53" s="38">
        <f t="shared" ref="T53:T54" si="66">Q53+$AF$14</f>
        <v>2345</v>
      </c>
      <c r="U53" s="3"/>
      <c r="V53" s="72">
        <v>83</v>
      </c>
      <c r="W53" s="72">
        <v>245</v>
      </c>
      <c r="X53" s="72">
        <v>685</v>
      </c>
      <c r="Y53" s="72">
        <v>2446</v>
      </c>
    </row>
    <row r="54" spans="7:25">
      <c r="G54">
        <v>48</v>
      </c>
      <c r="H54" t="s">
        <v>225</v>
      </c>
      <c r="I54" s="72" t="s">
        <v>252</v>
      </c>
      <c r="J54" s="38">
        <f t="shared" si="58"/>
        <v>230</v>
      </c>
      <c r="K54" s="38">
        <f t="shared" si="59"/>
        <v>214</v>
      </c>
      <c r="L54" s="38">
        <f t="shared" si="60"/>
        <v>234</v>
      </c>
      <c r="M54" s="72" t="s">
        <v>297</v>
      </c>
      <c r="N54" s="38">
        <f t="shared" si="61"/>
        <v>635</v>
      </c>
      <c r="O54" s="38">
        <f t="shared" si="62"/>
        <v>584</v>
      </c>
      <c r="P54" s="38">
        <f t="shared" si="63"/>
        <v>654</v>
      </c>
      <c r="Q54" s="72" t="s">
        <v>353</v>
      </c>
      <c r="R54" s="38">
        <f t="shared" si="64"/>
        <v>2145</v>
      </c>
      <c r="S54" s="38">
        <f t="shared" si="65"/>
        <v>2021</v>
      </c>
      <c r="T54" s="38">
        <f t="shared" si="66"/>
        <v>2345</v>
      </c>
      <c r="U54" s="3"/>
      <c r="V54" s="72">
        <v>83</v>
      </c>
      <c r="W54" s="72">
        <v>245</v>
      </c>
      <c r="X54" s="72">
        <v>685</v>
      </c>
      <c r="Y54" s="72">
        <v>2446</v>
      </c>
    </row>
    <row r="55" spans="7:25">
      <c r="G55">
        <v>49</v>
      </c>
      <c r="H55" t="s">
        <v>226</v>
      </c>
      <c r="I55" s="72" t="s">
        <v>253</v>
      </c>
      <c r="J55" s="38">
        <f t="shared" si="2"/>
        <v>238</v>
      </c>
      <c r="K55" s="38">
        <f t="shared" si="3"/>
        <v>222</v>
      </c>
      <c r="L55" s="38">
        <f t="shared" si="4"/>
        <v>242</v>
      </c>
      <c r="M55" s="72" t="s">
        <v>298</v>
      </c>
      <c r="N55" s="38">
        <f t="shared" si="18"/>
        <v>658</v>
      </c>
      <c r="O55" s="38">
        <f t="shared" si="19"/>
        <v>607</v>
      </c>
      <c r="P55" s="38">
        <f t="shared" si="7"/>
        <v>677</v>
      </c>
      <c r="Q55" s="72" t="s">
        <v>354</v>
      </c>
      <c r="R55" s="38">
        <f t="shared" si="20"/>
        <v>2228</v>
      </c>
      <c r="S55" s="38">
        <f t="shared" si="21"/>
        <v>2104</v>
      </c>
      <c r="T55" s="38">
        <f t="shared" si="8"/>
        <v>2428</v>
      </c>
      <c r="U55" s="3"/>
      <c r="V55" s="72">
        <v>87</v>
      </c>
      <c r="W55" s="72">
        <v>256</v>
      </c>
      <c r="X55" s="72">
        <v>716</v>
      </c>
      <c r="Y55" s="72">
        <v>2556</v>
      </c>
    </row>
    <row r="56" spans="7:25">
      <c r="G56">
        <v>50</v>
      </c>
      <c r="H56" t="s">
        <v>226</v>
      </c>
      <c r="I56" s="72" t="s">
        <v>253</v>
      </c>
      <c r="J56" s="38">
        <f t="shared" ref="J56:J57" si="67">I56+$AD$9</f>
        <v>238</v>
      </c>
      <c r="K56" s="38">
        <f t="shared" ref="K56:K57" si="68">I56+$AD$10</f>
        <v>222</v>
      </c>
      <c r="L56" s="38">
        <f t="shared" ref="L56:L57" si="69">I56+$AD$14</f>
        <v>242</v>
      </c>
      <c r="M56" s="72" t="s">
        <v>298</v>
      </c>
      <c r="N56" s="38">
        <f t="shared" ref="N56:N57" si="70">M56+$AE$9</f>
        <v>658</v>
      </c>
      <c r="O56" s="38">
        <f t="shared" ref="O56:O57" si="71">M56+$AE$10</f>
        <v>607</v>
      </c>
      <c r="P56" s="38">
        <f t="shared" ref="P56:P57" si="72">M56+$AE$14</f>
        <v>677</v>
      </c>
      <c r="Q56" s="72" t="s">
        <v>354</v>
      </c>
      <c r="R56" s="38">
        <f t="shared" ref="R56:R57" si="73">Q56+$AF$9</f>
        <v>2228</v>
      </c>
      <c r="S56" s="38">
        <f t="shared" ref="S56:S57" si="74">Q56+$AF$10</f>
        <v>2104</v>
      </c>
      <c r="T56" s="38">
        <f t="shared" ref="T56:T57" si="75">Q56+$AF$14</f>
        <v>2428</v>
      </c>
      <c r="U56" s="3"/>
      <c r="V56" s="72">
        <v>87</v>
      </c>
      <c r="W56" s="72">
        <v>256</v>
      </c>
      <c r="X56" s="72">
        <v>716</v>
      </c>
      <c r="Y56" s="72">
        <v>2556</v>
      </c>
    </row>
    <row r="57" spans="7:25">
      <c r="G57">
        <v>51</v>
      </c>
      <c r="H57" t="s">
        <v>226</v>
      </c>
      <c r="I57" s="72" t="s">
        <v>253</v>
      </c>
      <c r="J57" s="38">
        <f t="shared" si="67"/>
        <v>238</v>
      </c>
      <c r="K57" s="38">
        <f t="shared" si="68"/>
        <v>222</v>
      </c>
      <c r="L57" s="38">
        <f t="shared" si="69"/>
        <v>242</v>
      </c>
      <c r="M57" s="72" t="s">
        <v>298</v>
      </c>
      <c r="N57" s="38">
        <f t="shared" si="70"/>
        <v>658</v>
      </c>
      <c r="O57" s="38">
        <f t="shared" si="71"/>
        <v>607</v>
      </c>
      <c r="P57" s="38">
        <f t="shared" si="72"/>
        <v>677</v>
      </c>
      <c r="Q57" s="72" t="s">
        <v>354</v>
      </c>
      <c r="R57" s="38">
        <f t="shared" si="73"/>
        <v>2228</v>
      </c>
      <c r="S57" s="38">
        <f t="shared" si="74"/>
        <v>2104</v>
      </c>
      <c r="T57" s="38">
        <f t="shared" si="75"/>
        <v>2428</v>
      </c>
      <c r="U57" s="3"/>
      <c r="V57" s="72">
        <v>87</v>
      </c>
      <c r="W57" s="72">
        <v>256</v>
      </c>
      <c r="X57" s="72">
        <v>716</v>
      </c>
      <c r="Y57" s="72">
        <v>2556</v>
      </c>
    </row>
    <row r="58" spans="7:25">
      <c r="G58">
        <v>52</v>
      </c>
      <c r="H58" t="s">
        <v>406</v>
      </c>
      <c r="I58" s="72" t="s">
        <v>254</v>
      </c>
      <c r="J58" s="38">
        <f t="shared" si="2"/>
        <v>244</v>
      </c>
      <c r="K58" s="38">
        <f t="shared" si="3"/>
        <v>228</v>
      </c>
      <c r="L58" s="38">
        <f t="shared" si="4"/>
        <v>248</v>
      </c>
      <c r="M58" s="72" t="s">
        <v>299</v>
      </c>
      <c r="N58" s="38">
        <f t="shared" si="18"/>
        <v>675</v>
      </c>
      <c r="O58" s="38">
        <f t="shared" si="19"/>
        <v>624</v>
      </c>
      <c r="P58" s="38">
        <f t="shared" si="7"/>
        <v>694</v>
      </c>
      <c r="Q58" s="72" t="s">
        <v>355</v>
      </c>
      <c r="R58" s="38">
        <f t="shared" si="20"/>
        <v>2287</v>
      </c>
      <c r="S58" s="38">
        <f t="shared" si="21"/>
        <v>2163</v>
      </c>
      <c r="T58" s="38">
        <f t="shared" si="8"/>
        <v>2487</v>
      </c>
      <c r="U58" s="3"/>
      <c r="V58" s="72">
        <v>90</v>
      </c>
      <c r="W58" s="72">
        <v>263</v>
      </c>
      <c r="X58" s="72">
        <v>738</v>
      </c>
      <c r="Y58" s="72">
        <v>2635</v>
      </c>
    </row>
    <row r="59" spans="7:25">
      <c r="G59">
        <v>53</v>
      </c>
      <c r="H59" t="s">
        <v>406</v>
      </c>
      <c r="I59" s="72" t="s">
        <v>254</v>
      </c>
      <c r="J59" s="38">
        <f t="shared" ref="J59:J60" si="76">I59+$AD$9</f>
        <v>244</v>
      </c>
      <c r="K59" s="38">
        <f t="shared" ref="K59:K60" si="77">I59+$AD$10</f>
        <v>228</v>
      </c>
      <c r="L59" s="38">
        <f t="shared" ref="L59:L60" si="78">I59+$AD$14</f>
        <v>248</v>
      </c>
      <c r="M59" s="72" t="s">
        <v>299</v>
      </c>
      <c r="N59" s="38">
        <f t="shared" ref="N59:N60" si="79">M59+$AE$9</f>
        <v>675</v>
      </c>
      <c r="O59" s="38">
        <f t="shared" ref="O59:O60" si="80">M59+$AE$10</f>
        <v>624</v>
      </c>
      <c r="P59" s="38">
        <f t="shared" ref="P59:P60" si="81">M59+$AE$14</f>
        <v>694</v>
      </c>
      <c r="Q59" s="72" t="s">
        <v>355</v>
      </c>
      <c r="R59" s="38">
        <f t="shared" ref="R59:R60" si="82">Q59+$AF$9</f>
        <v>2287</v>
      </c>
      <c r="S59" s="38">
        <f t="shared" ref="S59:S60" si="83">Q59+$AF$10</f>
        <v>2163</v>
      </c>
      <c r="T59" s="38">
        <f t="shared" ref="T59:T60" si="84">Q59+$AF$14</f>
        <v>2487</v>
      </c>
      <c r="U59" s="3"/>
      <c r="V59" s="72">
        <v>90</v>
      </c>
      <c r="W59" s="72">
        <v>263</v>
      </c>
      <c r="X59" s="72">
        <v>738</v>
      </c>
      <c r="Y59" s="72">
        <v>2635</v>
      </c>
    </row>
    <row r="60" spans="7:25">
      <c r="G60">
        <v>54</v>
      </c>
      <c r="H60" t="s">
        <v>406</v>
      </c>
      <c r="I60" s="72" t="s">
        <v>254</v>
      </c>
      <c r="J60" s="38">
        <f t="shared" si="76"/>
        <v>244</v>
      </c>
      <c r="K60" s="38">
        <f t="shared" si="77"/>
        <v>228</v>
      </c>
      <c r="L60" s="38">
        <f t="shared" si="78"/>
        <v>248</v>
      </c>
      <c r="M60" s="72" t="s">
        <v>299</v>
      </c>
      <c r="N60" s="38">
        <f t="shared" si="79"/>
        <v>675</v>
      </c>
      <c r="O60" s="38">
        <f t="shared" si="80"/>
        <v>624</v>
      </c>
      <c r="P60" s="38">
        <f t="shared" si="81"/>
        <v>694</v>
      </c>
      <c r="Q60" s="72" t="s">
        <v>355</v>
      </c>
      <c r="R60" s="38">
        <f t="shared" si="82"/>
        <v>2287</v>
      </c>
      <c r="S60" s="38">
        <f t="shared" si="83"/>
        <v>2163</v>
      </c>
      <c r="T60" s="38">
        <f t="shared" si="84"/>
        <v>2487</v>
      </c>
      <c r="U60" s="3"/>
      <c r="V60" s="72">
        <v>90</v>
      </c>
      <c r="W60" s="72">
        <v>263</v>
      </c>
      <c r="X60" s="72">
        <v>738</v>
      </c>
      <c r="Y60" s="72">
        <v>2635</v>
      </c>
    </row>
    <row r="61" spans="7:25">
      <c r="G61">
        <v>55</v>
      </c>
      <c r="H61" t="s">
        <v>227</v>
      </c>
      <c r="I61" s="72" t="s">
        <v>255</v>
      </c>
      <c r="J61" s="38">
        <f t="shared" si="2"/>
        <v>250</v>
      </c>
      <c r="K61" s="38">
        <f t="shared" si="3"/>
        <v>234</v>
      </c>
      <c r="L61" s="38">
        <f t="shared" si="4"/>
        <v>254</v>
      </c>
      <c r="M61" s="72" t="s">
        <v>300</v>
      </c>
      <c r="N61" s="38">
        <f t="shared" si="18"/>
        <v>691</v>
      </c>
      <c r="O61" s="38">
        <f t="shared" si="19"/>
        <v>640</v>
      </c>
      <c r="P61" s="38">
        <f t="shared" si="7"/>
        <v>710</v>
      </c>
      <c r="Q61" s="72" t="s">
        <v>356</v>
      </c>
      <c r="R61" s="38">
        <f t="shared" si="20"/>
        <v>2346</v>
      </c>
      <c r="S61" s="38">
        <f t="shared" si="21"/>
        <v>2222</v>
      </c>
      <c r="T61" s="38">
        <f t="shared" si="8"/>
        <v>2546</v>
      </c>
      <c r="U61" s="3"/>
      <c r="V61" s="72">
        <v>93</v>
      </c>
      <c r="W61" s="72">
        <v>271</v>
      </c>
      <c r="X61" s="72">
        <v>760</v>
      </c>
      <c r="Y61" s="72">
        <v>2713</v>
      </c>
    </row>
    <row r="62" spans="7:25">
      <c r="G62">
        <v>56</v>
      </c>
      <c r="H62" t="s">
        <v>227</v>
      </c>
      <c r="I62" s="72" t="s">
        <v>255</v>
      </c>
      <c r="J62" s="38">
        <f t="shared" ref="J62:J63" si="85">I62+$AD$9</f>
        <v>250</v>
      </c>
      <c r="K62" s="38">
        <f t="shared" ref="K62:K63" si="86">I62+$AD$10</f>
        <v>234</v>
      </c>
      <c r="L62" s="38">
        <f t="shared" ref="L62:L63" si="87">I62+$AD$14</f>
        <v>254</v>
      </c>
      <c r="M62" s="72" t="s">
        <v>300</v>
      </c>
      <c r="N62" s="38">
        <f t="shared" ref="N62:N63" si="88">M62+$AE$9</f>
        <v>691</v>
      </c>
      <c r="O62" s="38">
        <f t="shared" ref="O62:O63" si="89">M62+$AE$10</f>
        <v>640</v>
      </c>
      <c r="P62" s="38">
        <f t="shared" ref="P62:P63" si="90">M62+$AE$14</f>
        <v>710</v>
      </c>
      <c r="Q62" s="72" t="s">
        <v>356</v>
      </c>
      <c r="R62" s="38">
        <f t="shared" ref="R62:R63" si="91">Q62+$AF$9</f>
        <v>2346</v>
      </c>
      <c r="S62" s="38">
        <f t="shared" ref="S62:S63" si="92">Q62+$AF$10</f>
        <v>2222</v>
      </c>
      <c r="T62" s="38">
        <f t="shared" ref="T62:T63" si="93">Q62+$AF$14</f>
        <v>2546</v>
      </c>
      <c r="U62" s="3"/>
      <c r="V62" s="72">
        <v>93</v>
      </c>
      <c r="W62" s="72">
        <v>271</v>
      </c>
      <c r="X62" s="72">
        <v>760</v>
      </c>
      <c r="Y62" s="72">
        <v>2713</v>
      </c>
    </row>
    <row r="63" spans="7:25">
      <c r="G63">
        <v>57</v>
      </c>
      <c r="H63" t="s">
        <v>227</v>
      </c>
      <c r="I63" s="72" t="s">
        <v>255</v>
      </c>
      <c r="J63" s="38">
        <f t="shared" si="85"/>
        <v>250</v>
      </c>
      <c r="K63" s="38">
        <f t="shared" si="86"/>
        <v>234</v>
      </c>
      <c r="L63" s="38">
        <f t="shared" si="87"/>
        <v>254</v>
      </c>
      <c r="M63" s="72" t="s">
        <v>300</v>
      </c>
      <c r="N63" s="38">
        <f t="shared" si="88"/>
        <v>691</v>
      </c>
      <c r="O63" s="38">
        <f t="shared" si="89"/>
        <v>640</v>
      </c>
      <c r="P63" s="38">
        <f t="shared" si="90"/>
        <v>710</v>
      </c>
      <c r="Q63" s="72" t="s">
        <v>356</v>
      </c>
      <c r="R63" s="38">
        <f t="shared" si="91"/>
        <v>2346</v>
      </c>
      <c r="S63" s="38">
        <f t="shared" si="92"/>
        <v>2222</v>
      </c>
      <c r="T63" s="38">
        <f t="shared" si="93"/>
        <v>2546</v>
      </c>
      <c r="U63" s="3"/>
      <c r="V63" s="72">
        <v>93</v>
      </c>
      <c r="W63" s="72">
        <v>271</v>
      </c>
      <c r="X63" s="72">
        <v>760</v>
      </c>
      <c r="Y63" s="72">
        <v>2713</v>
      </c>
    </row>
    <row r="64" spans="7:25">
      <c r="G64">
        <v>58</v>
      </c>
      <c r="H64" t="s">
        <v>407</v>
      </c>
      <c r="I64" s="72" t="s">
        <v>189</v>
      </c>
      <c r="J64" s="38">
        <f t="shared" si="2"/>
        <v>256</v>
      </c>
      <c r="K64" s="38">
        <f t="shared" si="3"/>
        <v>240</v>
      </c>
      <c r="L64" s="38">
        <f t="shared" si="4"/>
        <v>260</v>
      </c>
      <c r="M64" s="72" t="s">
        <v>301</v>
      </c>
      <c r="N64" s="38">
        <f t="shared" si="18"/>
        <v>708</v>
      </c>
      <c r="O64" s="38">
        <f t="shared" si="19"/>
        <v>657</v>
      </c>
      <c r="P64" s="38">
        <f t="shared" si="7"/>
        <v>727</v>
      </c>
      <c r="Q64" s="72" t="s">
        <v>357</v>
      </c>
      <c r="R64" s="38">
        <f t="shared" si="20"/>
        <v>2405</v>
      </c>
      <c r="S64" s="38">
        <f t="shared" si="21"/>
        <v>2281</v>
      </c>
      <c r="T64" s="38">
        <f t="shared" si="8"/>
        <v>2605</v>
      </c>
      <c r="U64" s="3"/>
      <c r="V64" s="72">
        <v>95</v>
      </c>
      <c r="W64" s="72">
        <v>279</v>
      </c>
      <c r="X64" s="72">
        <v>782</v>
      </c>
      <c r="Y64" s="72">
        <v>2792</v>
      </c>
    </row>
    <row r="65" spans="7:25">
      <c r="G65">
        <v>59</v>
      </c>
      <c r="H65" t="s">
        <v>407</v>
      </c>
      <c r="I65" s="72" t="s">
        <v>189</v>
      </c>
      <c r="J65" s="38">
        <f t="shared" ref="J65:J66" si="94">I65+$AD$9</f>
        <v>256</v>
      </c>
      <c r="K65" s="38">
        <f t="shared" ref="K65:K66" si="95">I65+$AD$10</f>
        <v>240</v>
      </c>
      <c r="L65" s="38">
        <f t="shared" ref="L65:L66" si="96">I65+$AD$14</f>
        <v>260</v>
      </c>
      <c r="M65" s="72" t="s">
        <v>301</v>
      </c>
      <c r="N65" s="38">
        <f t="shared" ref="N65:N66" si="97">M65+$AE$9</f>
        <v>708</v>
      </c>
      <c r="O65" s="38">
        <f t="shared" ref="O65:O66" si="98">M65+$AE$10</f>
        <v>657</v>
      </c>
      <c r="P65" s="38">
        <f t="shared" ref="P65:P66" si="99">M65+$AE$14</f>
        <v>727</v>
      </c>
      <c r="Q65" s="72" t="s">
        <v>357</v>
      </c>
      <c r="R65" s="38">
        <f t="shared" ref="R65:R66" si="100">Q65+$AF$9</f>
        <v>2405</v>
      </c>
      <c r="S65" s="38">
        <f t="shared" ref="S65:S66" si="101">Q65+$AF$10</f>
        <v>2281</v>
      </c>
      <c r="T65" s="38">
        <f t="shared" ref="T65:T66" si="102">Q65+$AF$14</f>
        <v>2605</v>
      </c>
      <c r="U65" s="3"/>
      <c r="V65" s="72">
        <v>95</v>
      </c>
      <c r="W65" s="72">
        <v>279</v>
      </c>
      <c r="X65" s="72">
        <v>782</v>
      </c>
      <c r="Y65" s="72">
        <v>2792</v>
      </c>
    </row>
    <row r="66" spans="7:25">
      <c r="G66">
        <v>60</v>
      </c>
      <c r="H66" t="s">
        <v>407</v>
      </c>
      <c r="I66" s="72" t="s">
        <v>189</v>
      </c>
      <c r="J66" s="38">
        <f t="shared" si="94"/>
        <v>256</v>
      </c>
      <c r="K66" s="38">
        <f t="shared" si="95"/>
        <v>240</v>
      </c>
      <c r="L66" s="38">
        <f t="shared" si="96"/>
        <v>260</v>
      </c>
      <c r="M66" s="72" t="s">
        <v>301</v>
      </c>
      <c r="N66" s="38">
        <f t="shared" si="97"/>
        <v>708</v>
      </c>
      <c r="O66" s="38">
        <f t="shared" si="98"/>
        <v>657</v>
      </c>
      <c r="P66" s="38">
        <f t="shared" si="99"/>
        <v>727</v>
      </c>
      <c r="Q66" s="72" t="s">
        <v>357</v>
      </c>
      <c r="R66" s="38">
        <f t="shared" si="100"/>
        <v>2405</v>
      </c>
      <c r="S66" s="38">
        <f t="shared" si="101"/>
        <v>2281</v>
      </c>
      <c r="T66" s="38">
        <f t="shared" si="102"/>
        <v>2605</v>
      </c>
      <c r="U66" s="3"/>
      <c r="V66" s="72">
        <v>95</v>
      </c>
      <c r="W66" s="72">
        <v>279</v>
      </c>
      <c r="X66" s="72">
        <v>782</v>
      </c>
      <c r="Y66" s="72">
        <v>2792</v>
      </c>
    </row>
    <row r="67" spans="7:25">
      <c r="G67">
        <v>61</v>
      </c>
      <c r="H67" t="s">
        <v>408</v>
      </c>
      <c r="I67" s="72" t="s">
        <v>256</v>
      </c>
      <c r="J67" s="38">
        <f t="shared" si="2"/>
        <v>264</v>
      </c>
      <c r="K67" s="38">
        <f t="shared" si="3"/>
        <v>248</v>
      </c>
      <c r="L67" s="38">
        <f t="shared" si="4"/>
        <v>268</v>
      </c>
      <c r="M67" s="72" t="s">
        <v>302</v>
      </c>
      <c r="N67" s="38">
        <f t="shared" si="18"/>
        <v>730</v>
      </c>
      <c r="O67" s="38">
        <f t="shared" si="19"/>
        <v>679</v>
      </c>
      <c r="P67" s="38">
        <f t="shared" si="7"/>
        <v>749</v>
      </c>
      <c r="Q67" s="72" t="s">
        <v>358</v>
      </c>
      <c r="R67" s="38">
        <f t="shared" si="20"/>
        <v>2484</v>
      </c>
      <c r="S67" s="38">
        <f t="shared" si="21"/>
        <v>2360</v>
      </c>
      <c r="T67" s="38">
        <f t="shared" si="8"/>
        <v>2684</v>
      </c>
      <c r="U67" s="3"/>
      <c r="V67" s="72">
        <v>99</v>
      </c>
      <c r="W67" s="72">
        <v>290</v>
      </c>
      <c r="X67" s="72">
        <v>811</v>
      </c>
      <c r="Y67" s="72">
        <v>2896</v>
      </c>
    </row>
    <row r="68" spans="7:25">
      <c r="G68">
        <v>62</v>
      </c>
      <c r="H68" t="s">
        <v>408</v>
      </c>
      <c r="I68" s="72" t="s">
        <v>256</v>
      </c>
      <c r="J68" s="38">
        <f t="shared" ref="J68:J71" si="103">I68+$AD$9</f>
        <v>264</v>
      </c>
      <c r="K68" s="38">
        <f t="shared" ref="K68:K71" si="104">I68+$AD$10</f>
        <v>248</v>
      </c>
      <c r="L68" s="38">
        <f t="shared" ref="L68:L71" si="105">I68+$AD$14</f>
        <v>268</v>
      </c>
      <c r="M68" s="72" t="s">
        <v>302</v>
      </c>
      <c r="N68" s="38">
        <f t="shared" ref="N68:N71" si="106">M68+$AE$9</f>
        <v>730</v>
      </c>
      <c r="O68" s="38">
        <f t="shared" ref="O68:O71" si="107">M68+$AE$10</f>
        <v>679</v>
      </c>
      <c r="P68" s="38">
        <f t="shared" ref="P68:P71" si="108">M68+$AE$14</f>
        <v>749</v>
      </c>
      <c r="Q68" s="72" t="s">
        <v>358</v>
      </c>
      <c r="R68" s="38">
        <f t="shared" ref="R68:R71" si="109">Q68+$AF$9</f>
        <v>2484</v>
      </c>
      <c r="S68" s="38">
        <f t="shared" ref="S68:S71" si="110">Q68+$AF$10</f>
        <v>2360</v>
      </c>
      <c r="T68" s="38">
        <f t="shared" ref="T68:T71" si="111">Q68+$AF$14</f>
        <v>2684</v>
      </c>
      <c r="U68" s="3"/>
      <c r="V68" s="72">
        <v>99</v>
      </c>
      <c r="W68" s="72">
        <v>290</v>
      </c>
      <c r="X68" s="72">
        <v>811</v>
      </c>
      <c r="Y68" s="72">
        <v>2896</v>
      </c>
    </row>
    <row r="69" spans="7:25">
      <c r="G69">
        <v>63</v>
      </c>
      <c r="H69" t="s">
        <v>408</v>
      </c>
      <c r="I69" s="72" t="s">
        <v>256</v>
      </c>
      <c r="J69" s="38">
        <f t="shared" si="103"/>
        <v>264</v>
      </c>
      <c r="K69" s="38">
        <f t="shared" si="104"/>
        <v>248</v>
      </c>
      <c r="L69" s="38">
        <f t="shared" si="105"/>
        <v>268</v>
      </c>
      <c r="M69" s="72" t="s">
        <v>302</v>
      </c>
      <c r="N69" s="38">
        <f t="shared" si="106"/>
        <v>730</v>
      </c>
      <c r="O69" s="38">
        <f t="shared" si="107"/>
        <v>679</v>
      </c>
      <c r="P69" s="38">
        <f t="shared" si="108"/>
        <v>749</v>
      </c>
      <c r="Q69" s="72" t="s">
        <v>358</v>
      </c>
      <c r="R69" s="38">
        <f t="shared" si="109"/>
        <v>2484</v>
      </c>
      <c r="S69" s="38">
        <f t="shared" si="110"/>
        <v>2360</v>
      </c>
      <c r="T69" s="38">
        <f t="shared" si="111"/>
        <v>2684</v>
      </c>
      <c r="U69" s="3"/>
      <c r="V69" s="72">
        <v>99</v>
      </c>
      <c r="W69" s="72">
        <v>290</v>
      </c>
      <c r="X69" s="72">
        <v>811</v>
      </c>
      <c r="Y69" s="72">
        <v>2896</v>
      </c>
    </row>
    <row r="70" spans="7:25">
      <c r="G70">
        <v>64</v>
      </c>
      <c r="H70" t="s">
        <v>408</v>
      </c>
      <c r="I70" s="72" t="s">
        <v>256</v>
      </c>
      <c r="J70" s="38">
        <f t="shared" si="103"/>
        <v>264</v>
      </c>
      <c r="K70" s="38">
        <f t="shared" si="104"/>
        <v>248</v>
      </c>
      <c r="L70" s="38">
        <f t="shared" si="105"/>
        <v>268</v>
      </c>
      <c r="M70" s="72" t="s">
        <v>302</v>
      </c>
      <c r="N70" s="38">
        <f t="shared" si="106"/>
        <v>730</v>
      </c>
      <c r="O70" s="38">
        <f t="shared" si="107"/>
        <v>679</v>
      </c>
      <c r="P70" s="38">
        <f t="shared" si="108"/>
        <v>749</v>
      </c>
      <c r="Q70" s="72" t="s">
        <v>358</v>
      </c>
      <c r="R70" s="38">
        <f t="shared" si="109"/>
        <v>2484</v>
      </c>
      <c r="S70" s="38">
        <f t="shared" si="110"/>
        <v>2360</v>
      </c>
      <c r="T70" s="38">
        <f t="shared" si="111"/>
        <v>2684</v>
      </c>
      <c r="U70" s="3"/>
      <c r="V70" s="72">
        <v>99</v>
      </c>
      <c r="W70" s="72">
        <v>290</v>
      </c>
      <c r="X70" s="72">
        <v>811</v>
      </c>
      <c r="Y70" s="72">
        <v>2896</v>
      </c>
    </row>
    <row r="71" spans="7:25">
      <c r="G71">
        <v>65</v>
      </c>
      <c r="H71" t="s">
        <v>408</v>
      </c>
      <c r="I71" s="72" t="s">
        <v>256</v>
      </c>
      <c r="J71" s="38">
        <f t="shared" si="103"/>
        <v>264</v>
      </c>
      <c r="K71" s="38">
        <f t="shared" si="104"/>
        <v>248</v>
      </c>
      <c r="L71" s="38">
        <f t="shared" si="105"/>
        <v>268</v>
      </c>
      <c r="M71" s="72" t="s">
        <v>302</v>
      </c>
      <c r="N71" s="38">
        <f t="shared" si="106"/>
        <v>730</v>
      </c>
      <c r="O71" s="38">
        <f t="shared" si="107"/>
        <v>679</v>
      </c>
      <c r="P71" s="38">
        <f t="shared" si="108"/>
        <v>749</v>
      </c>
      <c r="Q71" s="72" t="s">
        <v>358</v>
      </c>
      <c r="R71" s="38">
        <f t="shared" si="109"/>
        <v>2484</v>
      </c>
      <c r="S71" s="38">
        <f t="shared" si="110"/>
        <v>2360</v>
      </c>
      <c r="T71" s="38">
        <f t="shared" si="111"/>
        <v>2684</v>
      </c>
      <c r="U71" s="3"/>
      <c r="V71" s="72">
        <v>99</v>
      </c>
      <c r="W71" s="72">
        <v>290</v>
      </c>
      <c r="X71" s="72">
        <v>811</v>
      </c>
      <c r="Y71" s="72">
        <v>2896</v>
      </c>
    </row>
    <row r="72" spans="7:25">
      <c r="G72">
        <v>66</v>
      </c>
      <c r="H72" t="s">
        <v>409</v>
      </c>
      <c r="I72" s="72" t="s">
        <v>257</v>
      </c>
      <c r="J72" s="38">
        <f t="shared" ref="J72:J132" si="112">I72+$AD$9</f>
        <v>273</v>
      </c>
      <c r="K72" s="38">
        <f t="shared" ref="K72:K132" si="113">I72+$AD$10</f>
        <v>257</v>
      </c>
      <c r="L72" s="38">
        <f t="shared" ref="L72:L132" si="114">I72+$AD$14</f>
        <v>277</v>
      </c>
      <c r="M72" s="72" t="s">
        <v>303</v>
      </c>
      <c r="N72" s="38">
        <f t="shared" ref="N72:N102" si="115">M72+$AE$9</f>
        <v>757</v>
      </c>
      <c r="O72" s="38">
        <f t="shared" ref="O72:O102" si="116">M72+$AE$10</f>
        <v>706</v>
      </c>
      <c r="P72" s="38">
        <f t="shared" ref="P72:P132" si="117">M72+$AE$14</f>
        <v>776</v>
      </c>
      <c r="Q72" s="72" t="s">
        <v>359</v>
      </c>
      <c r="R72" s="38">
        <f t="shared" ref="R72:R102" si="118">Q72+$AF$9</f>
        <v>2583</v>
      </c>
      <c r="S72" s="38">
        <f t="shared" ref="S72:S102" si="119">Q72+$AF$10</f>
        <v>2459</v>
      </c>
      <c r="T72" s="38">
        <f t="shared" ref="T72:T132" si="120">Q72+$AF$14</f>
        <v>2783</v>
      </c>
      <c r="U72" s="3"/>
      <c r="V72" s="72">
        <v>103</v>
      </c>
      <c r="W72" s="72">
        <v>303</v>
      </c>
      <c r="X72" s="72">
        <v>848</v>
      </c>
      <c r="Y72" s="72">
        <v>3027</v>
      </c>
    </row>
    <row r="73" spans="7:25">
      <c r="G73">
        <v>67</v>
      </c>
      <c r="H73" t="s">
        <v>409</v>
      </c>
      <c r="I73" s="72" t="s">
        <v>257</v>
      </c>
      <c r="J73" s="38">
        <f t="shared" ref="J73:J76" si="121">I73+$AD$9</f>
        <v>273</v>
      </c>
      <c r="K73" s="38">
        <f t="shared" ref="K73:K76" si="122">I73+$AD$10</f>
        <v>257</v>
      </c>
      <c r="L73" s="38">
        <f t="shared" ref="L73:L76" si="123">I73+$AD$14</f>
        <v>277</v>
      </c>
      <c r="M73" s="72" t="s">
        <v>303</v>
      </c>
      <c r="N73" s="38">
        <f t="shared" ref="N73:N76" si="124">M73+$AE$9</f>
        <v>757</v>
      </c>
      <c r="O73" s="38">
        <f t="shared" ref="O73:O76" si="125">M73+$AE$10</f>
        <v>706</v>
      </c>
      <c r="P73" s="38">
        <f t="shared" ref="P73:P76" si="126">M73+$AE$14</f>
        <v>776</v>
      </c>
      <c r="Q73" s="72" t="s">
        <v>359</v>
      </c>
      <c r="R73" s="38">
        <f t="shared" ref="R73:R76" si="127">Q73+$AF$9</f>
        <v>2583</v>
      </c>
      <c r="S73" s="38">
        <f t="shared" ref="S73:S76" si="128">Q73+$AF$10</f>
        <v>2459</v>
      </c>
      <c r="T73" s="38">
        <f t="shared" ref="T73:T76" si="129">Q73+$AF$14</f>
        <v>2783</v>
      </c>
      <c r="U73" s="3"/>
      <c r="V73" s="72">
        <v>103</v>
      </c>
      <c r="W73" s="72">
        <v>303</v>
      </c>
      <c r="X73" s="72">
        <v>848</v>
      </c>
      <c r="Y73" s="72">
        <v>3027</v>
      </c>
    </row>
    <row r="74" spans="7:25">
      <c r="G74">
        <v>68</v>
      </c>
      <c r="H74" t="s">
        <v>409</v>
      </c>
      <c r="I74" s="72" t="s">
        <v>257</v>
      </c>
      <c r="J74" s="38">
        <f t="shared" si="121"/>
        <v>273</v>
      </c>
      <c r="K74" s="38">
        <f t="shared" si="122"/>
        <v>257</v>
      </c>
      <c r="L74" s="38">
        <f t="shared" si="123"/>
        <v>277</v>
      </c>
      <c r="M74" s="72" t="s">
        <v>303</v>
      </c>
      <c r="N74" s="38">
        <f t="shared" si="124"/>
        <v>757</v>
      </c>
      <c r="O74" s="38">
        <f t="shared" si="125"/>
        <v>706</v>
      </c>
      <c r="P74" s="38">
        <f t="shared" si="126"/>
        <v>776</v>
      </c>
      <c r="Q74" s="72" t="s">
        <v>359</v>
      </c>
      <c r="R74" s="38">
        <f t="shared" si="127"/>
        <v>2583</v>
      </c>
      <c r="S74" s="38">
        <f t="shared" si="128"/>
        <v>2459</v>
      </c>
      <c r="T74" s="38">
        <f t="shared" si="129"/>
        <v>2783</v>
      </c>
      <c r="U74" s="3"/>
      <c r="V74" s="72">
        <v>103</v>
      </c>
      <c r="W74" s="72">
        <v>303</v>
      </c>
      <c r="X74" s="72">
        <v>848</v>
      </c>
      <c r="Y74" s="72">
        <v>3027</v>
      </c>
    </row>
    <row r="75" spans="7:25">
      <c r="G75">
        <v>69</v>
      </c>
      <c r="H75" t="s">
        <v>409</v>
      </c>
      <c r="I75" s="72" t="s">
        <v>257</v>
      </c>
      <c r="J75" s="38">
        <f t="shared" si="121"/>
        <v>273</v>
      </c>
      <c r="K75" s="38">
        <f t="shared" si="122"/>
        <v>257</v>
      </c>
      <c r="L75" s="38">
        <f t="shared" si="123"/>
        <v>277</v>
      </c>
      <c r="M75" s="72" t="s">
        <v>303</v>
      </c>
      <c r="N75" s="38">
        <f t="shared" si="124"/>
        <v>757</v>
      </c>
      <c r="O75" s="38">
        <f t="shared" si="125"/>
        <v>706</v>
      </c>
      <c r="P75" s="38">
        <f t="shared" si="126"/>
        <v>776</v>
      </c>
      <c r="Q75" s="72" t="s">
        <v>359</v>
      </c>
      <c r="R75" s="38">
        <f t="shared" si="127"/>
        <v>2583</v>
      </c>
      <c r="S75" s="38">
        <f t="shared" si="128"/>
        <v>2459</v>
      </c>
      <c r="T75" s="38">
        <f t="shared" si="129"/>
        <v>2783</v>
      </c>
      <c r="U75" s="3"/>
      <c r="V75" s="72">
        <v>103</v>
      </c>
      <c r="W75" s="72">
        <v>303</v>
      </c>
      <c r="X75" s="72">
        <v>848</v>
      </c>
      <c r="Y75" s="72">
        <v>3027</v>
      </c>
    </row>
    <row r="76" spans="7:25">
      <c r="G76">
        <v>70</v>
      </c>
      <c r="H76" t="s">
        <v>409</v>
      </c>
      <c r="I76" s="72" t="s">
        <v>257</v>
      </c>
      <c r="J76" s="38">
        <f t="shared" si="121"/>
        <v>273</v>
      </c>
      <c r="K76" s="38">
        <f t="shared" si="122"/>
        <v>257</v>
      </c>
      <c r="L76" s="38">
        <f t="shared" si="123"/>
        <v>277</v>
      </c>
      <c r="M76" s="72" t="s">
        <v>303</v>
      </c>
      <c r="N76" s="38">
        <f t="shared" si="124"/>
        <v>757</v>
      </c>
      <c r="O76" s="38">
        <f t="shared" si="125"/>
        <v>706</v>
      </c>
      <c r="P76" s="38">
        <f t="shared" si="126"/>
        <v>776</v>
      </c>
      <c r="Q76" s="72" t="s">
        <v>359</v>
      </c>
      <c r="R76" s="38">
        <f t="shared" si="127"/>
        <v>2583</v>
      </c>
      <c r="S76" s="38">
        <f t="shared" si="128"/>
        <v>2459</v>
      </c>
      <c r="T76" s="38">
        <f t="shared" si="129"/>
        <v>2783</v>
      </c>
      <c r="U76" s="3"/>
      <c r="V76" s="72">
        <v>103</v>
      </c>
      <c r="W76" s="72">
        <v>303</v>
      </c>
      <c r="X76" s="72">
        <v>848</v>
      </c>
      <c r="Y76" s="72">
        <v>3027</v>
      </c>
    </row>
    <row r="77" spans="7:25">
      <c r="G77">
        <v>71</v>
      </c>
      <c r="H77" t="s">
        <v>410</v>
      </c>
      <c r="I77" s="72" t="s">
        <v>258</v>
      </c>
      <c r="J77" s="38">
        <f t="shared" si="112"/>
        <v>283</v>
      </c>
      <c r="K77" s="38">
        <f t="shared" si="113"/>
        <v>267</v>
      </c>
      <c r="L77" s="38">
        <f t="shared" si="114"/>
        <v>287</v>
      </c>
      <c r="M77" s="72" t="s">
        <v>304</v>
      </c>
      <c r="N77" s="38">
        <f t="shared" si="115"/>
        <v>785</v>
      </c>
      <c r="O77" s="38">
        <f t="shared" si="116"/>
        <v>734</v>
      </c>
      <c r="P77" s="38">
        <f t="shared" si="117"/>
        <v>804</v>
      </c>
      <c r="Q77" s="72" t="s">
        <v>360</v>
      </c>
      <c r="R77" s="38">
        <f t="shared" si="118"/>
        <v>2681</v>
      </c>
      <c r="S77" s="38">
        <f t="shared" si="119"/>
        <v>2557</v>
      </c>
      <c r="T77" s="38">
        <f t="shared" si="120"/>
        <v>2881</v>
      </c>
      <c r="U77" s="3"/>
      <c r="V77" s="72">
        <v>108</v>
      </c>
      <c r="W77" s="72">
        <v>316</v>
      </c>
      <c r="X77" s="72">
        <v>884</v>
      </c>
      <c r="Y77" s="72">
        <v>3157</v>
      </c>
    </row>
    <row r="78" spans="7:25">
      <c r="G78">
        <v>72</v>
      </c>
      <c r="H78" t="s">
        <v>410</v>
      </c>
      <c r="I78" s="72" t="s">
        <v>258</v>
      </c>
      <c r="J78" s="38">
        <f t="shared" ref="J78:J81" si="130">I78+$AD$9</f>
        <v>283</v>
      </c>
      <c r="K78" s="38">
        <f t="shared" ref="K78:K81" si="131">I78+$AD$10</f>
        <v>267</v>
      </c>
      <c r="L78" s="38">
        <f t="shared" ref="L78:L81" si="132">I78+$AD$14</f>
        <v>287</v>
      </c>
      <c r="M78" s="72" t="s">
        <v>304</v>
      </c>
      <c r="N78" s="38">
        <f t="shared" ref="N78:N81" si="133">M78+$AE$9</f>
        <v>785</v>
      </c>
      <c r="O78" s="38">
        <f t="shared" ref="O78:O81" si="134">M78+$AE$10</f>
        <v>734</v>
      </c>
      <c r="P78" s="38">
        <f t="shared" ref="P78:P81" si="135">M78+$AE$14</f>
        <v>804</v>
      </c>
      <c r="Q78" s="72" t="s">
        <v>360</v>
      </c>
      <c r="R78" s="38">
        <f t="shared" ref="R78:R81" si="136">Q78+$AF$9</f>
        <v>2681</v>
      </c>
      <c r="S78" s="38">
        <f t="shared" ref="S78:S81" si="137">Q78+$AF$10</f>
        <v>2557</v>
      </c>
      <c r="T78" s="38">
        <f t="shared" ref="T78:T81" si="138">Q78+$AF$14</f>
        <v>2881</v>
      </c>
      <c r="U78" s="3"/>
      <c r="V78" s="72">
        <v>108</v>
      </c>
      <c r="W78" s="72">
        <v>316</v>
      </c>
      <c r="X78" s="72">
        <v>884</v>
      </c>
      <c r="Y78" s="72">
        <v>3157</v>
      </c>
    </row>
    <row r="79" spans="7:25">
      <c r="G79">
        <v>73</v>
      </c>
      <c r="H79" t="s">
        <v>410</v>
      </c>
      <c r="I79" s="72" t="s">
        <v>258</v>
      </c>
      <c r="J79" s="38">
        <f t="shared" si="130"/>
        <v>283</v>
      </c>
      <c r="K79" s="38">
        <f t="shared" si="131"/>
        <v>267</v>
      </c>
      <c r="L79" s="38">
        <f t="shared" si="132"/>
        <v>287</v>
      </c>
      <c r="M79" s="72" t="s">
        <v>304</v>
      </c>
      <c r="N79" s="38">
        <f t="shared" si="133"/>
        <v>785</v>
      </c>
      <c r="O79" s="38">
        <f t="shared" si="134"/>
        <v>734</v>
      </c>
      <c r="P79" s="38">
        <f t="shared" si="135"/>
        <v>804</v>
      </c>
      <c r="Q79" s="72" t="s">
        <v>360</v>
      </c>
      <c r="R79" s="38">
        <f t="shared" si="136"/>
        <v>2681</v>
      </c>
      <c r="S79" s="38">
        <f t="shared" si="137"/>
        <v>2557</v>
      </c>
      <c r="T79" s="38">
        <f t="shared" si="138"/>
        <v>2881</v>
      </c>
      <c r="U79" s="3"/>
      <c r="V79" s="72">
        <v>108</v>
      </c>
      <c r="W79" s="72">
        <v>316</v>
      </c>
      <c r="X79" s="72">
        <v>884</v>
      </c>
      <c r="Y79" s="72">
        <v>3157</v>
      </c>
    </row>
    <row r="80" spans="7:25">
      <c r="G80">
        <v>74</v>
      </c>
      <c r="H80" t="s">
        <v>410</v>
      </c>
      <c r="I80" s="72" t="s">
        <v>258</v>
      </c>
      <c r="J80" s="38">
        <f t="shared" si="130"/>
        <v>283</v>
      </c>
      <c r="K80" s="38">
        <f t="shared" si="131"/>
        <v>267</v>
      </c>
      <c r="L80" s="38">
        <f t="shared" si="132"/>
        <v>287</v>
      </c>
      <c r="M80" s="72" t="s">
        <v>304</v>
      </c>
      <c r="N80" s="38">
        <f t="shared" si="133"/>
        <v>785</v>
      </c>
      <c r="O80" s="38">
        <f t="shared" si="134"/>
        <v>734</v>
      </c>
      <c r="P80" s="38">
        <f t="shared" si="135"/>
        <v>804</v>
      </c>
      <c r="Q80" s="72" t="s">
        <v>360</v>
      </c>
      <c r="R80" s="38">
        <f t="shared" si="136"/>
        <v>2681</v>
      </c>
      <c r="S80" s="38">
        <f t="shared" si="137"/>
        <v>2557</v>
      </c>
      <c r="T80" s="38">
        <f t="shared" si="138"/>
        <v>2881</v>
      </c>
      <c r="U80" s="3"/>
      <c r="V80" s="72">
        <v>108</v>
      </c>
      <c r="W80" s="72">
        <v>316</v>
      </c>
      <c r="X80" s="72">
        <v>884</v>
      </c>
      <c r="Y80" s="72">
        <v>3157</v>
      </c>
    </row>
    <row r="81" spans="7:25">
      <c r="G81">
        <v>75</v>
      </c>
      <c r="H81" t="s">
        <v>410</v>
      </c>
      <c r="I81" s="72" t="s">
        <v>258</v>
      </c>
      <c r="J81" s="38">
        <f t="shared" si="130"/>
        <v>283</v>
      </c>
      <c r="K81" s="38">
        <f t="shared" si="131"/>
        <v>267</v>
      </c>
      <c r="L81" s="38">
        <f t="shared" si="132"/>
        <v>287</v>
      </c>
      <c r="M81" s="72" t="s">
        <v>304</v>
      </c>
      <c r="N81" s="38">
        <f t="shared" si="133"/>
        <v>785</v>
      </c>
      <c r="O81" s="38">
        <f t="shared" si="134"/>
        <v>734</v>
      </c>
      <c r="P81" s="38">
        <f t="shared" si="135"/>
        <v>804</v>
      </c>
      <c r="Q81" s="72" t="s">
        <v>360</v>
      </c>
      <c r="R81" s="38">
        <f t="shared" si="136"/>
        <v>2681</v>
      </c>
      <c r="S81" s="38">
        <f t="shared" si="137"/>
        <v>2557</v>
      </c>
      <c r="T81" s="38">
        <f t="shared" si="138"/>
        <v>2881</v>
      </c>
      <c r="U81" s="3"/>
      <c r="V81" s="72">
        <v>108</v>
      </c>
      <c r="W81" s="72">
        <v>316</v>
      </c>
      <c r="X81" s="72">
        <v>884</v>
      </c>
      <c r="Y81" s="72">
        <v>3157</v>
      </c>
    </row>
    <row r="82" spans="7:25">
      <c r="G82">
        <v>76</v>
      </c>
      <c r="H82" t="s">
        <v>411</v>
      </c>
      <c r="I82" s="72" t="s">
        <v>259</v>
      </c>
      <c r="J82" s="38">
        <f t="shared" si="112"/>
        <v>293</v>
      </c>
      <c r="K82" s="38">
        <f t="shared" si="113"/>
        <v>277</v>
      </c>
      <c r="L82" s="38">
        <f t="shared" si="114"/>
        <v>297</v>
      </c>
      <c r="M82" s="72" t="s">
        <v>305</v>
      </c>
      <c r="N82" s="38">
        <f t="shared" si="115"/>
        <v>813</v>
      </c>
      <c r="O82" s="38">
        <f t="shared" si="116"/>
        <v>762</v>
      </c>
      <c r="P82" s="38">
        <f t="shared" si="117"/>
        <v>832</v>
      </c>
      <c r="Q82" s="72" t="s">
        <v>361</v>
      </c>
      <c r="R82" s="38">
        <f t="shared" si="118"/>
        <v>2780</v>
      </c>
      <c r="S82" s="38">
        <f t="shared" si="119"/>
        <v>2656</v>
      </c>
      <c r="T82" s="38">
        <f t="shared" si="120"/>
        <v>2980</v>
      </c>
      <c r="U82" s="3"/>
      <c r="V82" s="72">
        <v>112</v>
      </c>
      <c r="W82" s="72">
        <v>329</v>
      </c>
      <c r="X82" s="72">
        <v>921</v>
      </c>
      <c r="Y82" s="72">
        <v>3288</v>
      </c>
    </row>
    <row r="83" spans="7:25">
      <c r="G83">
        <v>77</v>
      </c>
      <c r="H83" t="s">
        <v>411</v>
      </c>
      <c r="I83" s="72" t="s">
        <v>259</v>
      </c>
      <c r="J83" s="38">
        <f t="shared" ref="J83:J86" si="139">I83+$AD$9</f>
        <v>293</v>
      </c>
      <c r="K83" s="38">
        <f t="shared" ref="K83:K86" si="140">I83+$AD$10</f>
        <v>277</v>
      </c>
      <c r="L83" s="38">
        <f t="shared" ref="L83:L86" si="141">I83+$AD$14</f>
        <v>297</v>
      </c>
      <c r="M83" s="72" t="s">
        <v>305</v>
      </c>
      <c r="N83" s="38">
        <f t="shared" ref="N83:N86" si="142">M83+$AE$9</f>
        <v>813</v>
      </c>
      <c r="O83" s="38">
        <f t="shared" ref="O83:O86" si="143">M83+$AE$10</f>
        <v>762</v>
      </c>
      <c r="P83" s="38">
        <f t="shared" ref="P83:P86" si="144">M83+$AE$14</f>
        <v>832</v>
      </c>
      <c r="Q83" s="72" t="s">
        <v>361</v>
      </c>
      <c r="R83" s="38">
        <f t="shared" ref="R83:R86" si="145">Q83+$AF$9</f>
        <v>2780</v>
      </c>
      <c r="S83" s="38">
        <f t="shared" ref="S83:S86" si="146">Q83+$AF$10</f>
        <v>2656</v>
      </c>
      <c r="T83" s="38">
        <f t="shared" ref="T83:T86" si="147">Q83+$AF$14</f>
        <v>2980</v>
      </c>
      <c r="U83" s="3"/>
      <c r="V83" s="72">
        <v>112</v>
      </c>
      <c r="W83" s="72">
        <v>329</v>
      </c>
      <c r="X83" s="72">
        <v>921</v>
      </c>
      <c r="Y83" s="72">
        <v>3288</v>
      </c>
    </row>
    <row r="84" spans="7:25">
      <c r="G84">
        <v>78</v>
      </c>
      <c r="H84" t="s">
        <v>411</v>
      </c>
      <c r="I84" s="72" t="s">
        <v>259</v>
      </c>
      <c r="J84" s="38">
        <f t="shared" si="139"/>
        <v>293</v>
      </c>
      <c r="K84" s="38">
        <f t="shared" si="140"/>
        <v>277</v>
      </c>
      <c r="L84" s="38">
        <f t="shared" si="141"/>
        <v>297</v>
      </c>
      <c r="M84" s="72" t="s">
        <v>305</v>
      </c>
      <c r="N84" s="38">
        <f t="shared" si="142"/>
        <v>813</v>
      </c>
      <c r="O84" s="38">
        <f t="shared" si="143"/>
        <v>762</v>
      </c>
      <c r="P84" s="38">
        <f t="shared" si="144"/>
        <v>832</v>
      </c>
      <c r="Q84" s="72" t="s">
        <v>361</v>
      </c>
      <c r="R84" s="38">
        <f t="shared" si="145"/>
        <v>2780</v>
      </c>
      <c r="S84" s="38">
        <f t="shared" si="146"/>
        <v>2656</v>
      </c>
      <c r="T84" s="38">
        <f t="shared" si="147"/>
        <v>2980</v>
      </c>
      <c r="U84" s="3"/>
      <c r="V84" s="72">
        <v>112</v>
      </c>
      <c r="W84" s="72">
        <v>329</v>
      </c>
      <c r="X84" s="72">
        <v>921</v>
      </c>
      <c r="Y84" s="72">
        <v>3288</v>
      </c>
    </row>
    <row r="85" spans="7:25">
      <c r="G85">
        <v>79</v>
      </c>
      <c r="H85" t="s">
        <v>411</v>
      </c>
      <c r="I85" s="72" t="s">
        <v>259</v>
      </c>
      <c r="J85" s="38">
        <f t="shared" si="139"/>
        <v>293</v>
      </c>
      <c r="K85" s="38">
        <f t="shared" si="140"/>
        <v>277</v>
      </c>
      <c r="L85" s="38">
        <f t="shared" si="141"/>
        <v>297</v>
      </c>
      <c r="M85" s="72" t="s">
        <v>305</v>
      </c>
      <c r="N85" s="38">
        <f t="shared" si="142"/>
        <v>813</v>
      </c>
      <c r="O85" s="38">
        <f t="shared" si="143"/>
        <v>762</v>
      </c>
      <c r="P85" s="38">
        <f t="shared" si="144"/>
        <v>832</v>
      </c>
      <c r="Q85" s="72" t="s">
        <v>361</v>
      </c>
      <c r="R85" s="38">
        <f t="shared" si="145"/>
        <v>2780</v>
      </c>
      <c r="S85" s="38">
        <f t="shared" si="146"/>
        <v>2656</v>
      </c>
      <c r="T85" s="38">
        <f t="shared" si="147"/>
        <v>2980</v>
      </c>
      <c r="U85" s="3"/>
      <c r="V85" s="72">
        <v>112</v>
      </c>
      <c r="W85" s="72">
        <v>329</v>
      </c>
      <c r="X85" s="72">
        <v>921</v>
      </c>
      <c r="Y85" s="72">
        <v>3288</v>
      </c>
    </row>
    <row r="86" spans="7:25">
      <c r="G86">
        <v>80</v>
      </c>
      <c r="H86" t="s">
        <v>411</v>
      </c>
      <c r="I86" s="72" t="s">
        <v>259</v>
      </c>
      <c r="J86" s="38">
        <f t="shared" si="139"/>
        <v>293</v>
      </c>
      <c r="K86" s="38">
        <f t="shared" si="140"/>
        <v>277</v>
      </c>
      <c r="L86" s="38">
        <f t="shared" si="141"/>
        <v>297</v>
      </c>
      <c r="M86" s="72" t="s">
        <v>305</v>
      </c>
      <c r="N86" s="38">
        <f t="shared" si="142"/>
        <v>813</v>
      </c>
      <c r="O86" s="38">
        <f t="shared" si="143"/>
        <v>762</v>
      </c>
      <c r="P86" s="38">
        <f t="shared" si="144"/>
        <v>832</v>
      </c>
      <c r="Q86" s="72" t="s">
        <v>361</v>
      </c>
      <c r="R86" s="38">
        <f t="shared" si="145"/>
        <v>2780</v>
      </c>
      <c r="S86" s="38">
        <f t="shared" si="146"/>
        <v>2656</v>
      </c>
      <c r="T86" s="38">
        <f t="shared" si="147"/>
        <v>2980</v>
      </c>
      <c r="U86" s="3"/>
      <c r="V86" s="72">
        <v>112</v>
      </c>
      <c r="W86" s="72">
        <v>329</v>
      </c>
      <c r="X86" s="72">
        <v>921</v>
      </c>
      <c r="Y86" s="72">
        <v>3288</v>
      </c>
    </row>
    <row r="87" spans="7:25">
      <c r="G87">
        <v>81</v>
      </c>
      <c r="H87" t="s">
        <v>412</v>
      </c>
      <c r="I87" s="72" t="s">
        <v>260</v>
      </c>
      <c r="J87" s="38">
        <f t="shared" si="112"/>
        <v>303</v>
      </c>
      <c r="K87" s="38">
        <f t="shared" si="113"/>
        <v>287</v>
      </c>
      <c r="L87" s="38">
        <f t="shared" si="114"/>
        <v>307</v>
      </c>
      <c r="M87" s="72" t="s">
        <v>306</v>
      </c>
      <c r="N87" s="38">
        <f t="shared" si="115"/>
        <v>840</v>
      </c>
      <c r="O87" s="38">
        <f t="shared" si="116"/>
        <v>789</v>
      </c>
      <c r="P87" s="38">
        <f t="shared" si="117"/>
        <v>859</v>
      </c>
      <c r="Q87" s="72" t="s">
        <v>362</v>
      </c>
      <c r="R87" s="38">
        <f t="shared" si="118"/>
        <v>2878</v>
      </c>
      <c r="S87" s="38">
        <f t="shared" si="119"/>
        <v>2754</v>
      </c>
      <c r="T87" s="38">
        <f t="shared" si="120"/>
        <v>3078</v>
      </c>
      <c r="U87" s="3"/>
      <c r="V87" s="72">
        <v>117</v>
      </c>
      <c r="W87" s="72">
        <v>342</v>
      </c>
      <c r="X87" s="72">
        <v>957</v>
      </c>
      <c r="Y87" s="72">
        <v>3419</v>
      </c>
    </row>
    <row r="88" spans="7:25">
      <c r="G88">
        <v>82</v>
      </c>
      <c r="H88" t="s">
        <v>412</v>
      </c>
      <c r="I88" s="72" t="s">
        <v>260</v>
      </c>
      <c r="J88" s="38">
        <f t="shared" ref="J88:J91" si="148">I88+$AD$9</f>
        <v>303</v>
      </c>
      <c r="K88" s="38">
        <f t="shared" ref="K88:K91" si="149">I88+$AD$10</f>
        <v>287</v>
      </c>
      <c r="L88" s="38">
        <f t="shared" ref="L88:L91" si="150">I88+$AD$14</f>
        <v>307</v>
      </c>
      <c r="M88" s="72" t="s">
        <v>306</v>
      </c>
      <c r="N88" s="38">
        <f t="shared" ref="N88:N91" si="151">M88+$AE$9</f>
        <v>840</v>
      </c>
      <c r="O88" s="38">
        <f t="shared" ref="O88:O91" si="152">M88+$AE$10</f>
        <v>789</v>
      </c>
      <c r="P88" s="38">
        <f t="shared" ref="P88:P91" si="153">M88+$AE$14</f>
        <v>859</v>
      </c>
      <c r="Q88" s="72" t="s">
        <v>362</v>
      </c>
      <c r="R88" s="38">
        <f t="shared" ref="R88:R91" si="154">Q88+$AF$9</f>
        <v>2878</v>
      </c>
      <c r="S88" s="38">
        <f t="shared" ref="S88:S91" si="155">Q88+$AF$10</f>
        <v>2754</v>
      </c>
      <c r="T88" s="38">
        <f t="shared" ref="T88:T91" si="156">Q88+$AF$14</f>
        <v>3078</v>
      </c>
      <c r="U88" s="3"/>
      <c r="V88" s="72">
        <v>117</v>
      </c>
      <c r="W88" s="72">
        <v>342</v>
      </c>
      <c r="X88" s="72">
        <v>957</v>
      </c>
      <c r="Y88" s="72">
        <v>3419</v>
      </c>
    </row>
    <row r="89" spans="7:25">
      <c r="G89">
        <v>83</v>
      </c>
      <c r="H89" t="s">
        <v>412</v>
      </c>
      <c r="I89" s="72" t="s">
        <v>260</v>
      </c>
      <c r="J89" s="38">
        <f t="shared" si="148"/>
        <v>303</v>
      </c>
      <c r="K89" s="38">
        <f t="shared" si="149"/>
        <v>287</v>
      </c>
      <c r="L89" s="38">
        <f t="shared" si="150"/>
        <v>307</v>
      </c>
      <c r="M89" s="72" t="s">
        <v>306</v>
      </c>
      <c r="N89" s="38">
        <f t="shared" si="151"/>
        <v>840</v>
      </c>
      <c r="O89" s="38">
        <f t="shared" si="152"/>
        <v>789</v>
      </c>
      <c r="P89" s="38">
        <f t="shared" si="153"/>
        <v>859</v>
      </c>
      <c r="Q89" s="72" t="s">
        <v>362</v>
      </c>
      <c r="R89" s="38">
        <f t="shared" si="154"/>
        <v>2878</v>
      </c>
      <c r="S89" s="38">
        <f t="shared" si="155"/>
        <v>2754</v>
      </c>
      <c r="T89" s="38">
        <f t="shared" si="156"/>
        <v>3078</v>
      </c>
      <c r="U89" s="3"/>
      <c r="V89" s="72">
        <v>117</v>
      </c>
      <c r="W89" s="72">
        <v>342</v>
      </c>
      <c r="X89" s="72">
        <v>957</v>
      </c>
      <c r="Y89" s="72">
        <v>3419</v>
      </c>
    </row>
    <row r="90" spans="7:25">
      <c r="G90">
        <v>84</v>
      </c>
      <c r="H90" t="s">
        <v>412</v>
      </c>
      <c r="I90" s="72" t="s">
        <v>260</v>
      </c>
      <c r="J90" s="38">
        <f t="shared" si="148"/>
        <v>303</v>
      </c>
      <c r="K90" s="38">
        <f t="shared" si="149"/>
        <v>287</v>
      </c>
      <c r="L90" s="38">
        <f t="shared" si="150"/>
        <v>307</v>
      </c>
      <c r="M90" s="72" t="s">
        <v>306</v>
      </c>
      <c r="N90" s="38">
        <f t="shared" si="151"/>
        <v>840</v>
      </c>
      <c r="O90" s="38">
        <f t="shared" si="152"/>
        <v>789</v>
      </c>
      <c r="P90" s="38">
        <f t="shared" si="153"/>
        <v>859</v>
      </c>
      <c r="Q90" s="72" t="s">
        <v>362</v>
      </c>
      <c r="R90" s="38">
        <f t="shared" si="154"/>
        <v>2878</v>
      </c>
      <c r="S90" s="38">
        <f t="shared" si="155"/>
        <v>2754</v>
      </c>
      <c r="T90" s="38">
        <f t="shared" si="156"/>
        <v>3078</v>
      </c>
      <c r="U90" s="3"/>
      <c r="V90" s="72">
        <v>117</v>
      </c>
      <c r="W90" s="72">
        <v>342</v>
      </c>
      <c r="X90" s="72">
        <v>957</v>
      </c>
      <c r="Y90" s="72">
        <v>3419</v>
      </c>
    </row>
    <row r="91" spans="7:25">
      <c r="G91">
        <v>85</v>
      </c>
      <c r="H91" t="s">
        <v>412</v>
      </c>
      <c r="I91" s="72" t="s">
        <v>260</v>
      </c>
      <c r="J91" s="38">
        <f t="shared" si="148"/>
        <v>303</v>
      </c>
      <c r="K91" s="38">
        <f t="shared" si="149"/>
        <v>287</v>
      </c>
      <c r="L91" s="38">
        <f t="shared" si="150"/>
        <v>307</v>
      </c>
      <c r="M91" s="72" t="s">
        <v>306</v>
      </c>
      <c r="N91" s="38">
        <f t="shared" si="151"/>
        <v>840</v>
      </c>
      <c r="O91" s="38">
        <f t="shared" si="152"/>
        <v>789</v>
      </c>
      <c r="P91" s="38">
        <f t="shared" si="153"/>
        <v>859</v>
      </c>
      <c r="Q91" s="72" t="s">
        <v>362</v>
      </c>
      <c r="R91" s="38">
        <f t="shared" si="154"/>
        <v>2878</v>
      </c>
      <c r="S91" s="38">
        <f t="shared" si="155"/>
        <v>2754</v>
      </c>
      <c r="T91" s="38">
        <f t="shared" si="156"/>
        <v>3078</v>
      </c>
      <c r="U91" s="3"/>
      <c r="V91" s="72">
        <v>117</v>
      </c>
      <c r="W91" s="72">
        <v>342</v>
      </c>
      <c r="X91" s="72">
        <v>957</v>
      </c>
      <c r="Y91" s="72">
        <v>3419</v>
      </c>
    </row>
    <row r="92" spans="7:25">
      <c r="G92">
        <v>86</v>
      </c>
      <c r="H92" t="s">
        <v>413</v>
      </c>
      <c r="I92" s="72" t="s">
        <v>261</v>
      </c>
      <c r="J92" s="38">
        <f t="shared" si="112"/>
        <v>313</v>
      </c>
      <c r="K92" s="38">
        <f t="shared" si="113"/>
        <v>297</v>
      </c>
      <c r="L92" s="38">
        <f t="shared" si="114"/>
        <v>317</v>
      </c>
      <c r="M92" s="72" t="s">
        <v>307</v>
      </c>
      <c r="N92" s="38">
        <f t="shared" si="115"/>
        <v>868</v>
      </c>
      <c r="O92" s="38">
        <f t="shared" si="116"/>
        <v>817</v>
      </c>
      <c r="P92" s="38">
        <f t="shared" si="117"/>
        <v>887</v>
      </c>
      <c r="Q92" s="72" t="s">
        <v>363</v>
      </c>
      <c r="R92" s="38">
        <f t="shared" si="118"/>
        <v>2977</v>
      </c>
      <c r="S92" s="38">
        <f t="shared" si="119"/>
        <v>2853</v>
      </c>
      <c r="T92" s="38">
        <f t="shared" si="120"/>
        <v>3177</v>
      </c>
      <c r="U92" s="3"/>
      <c r="V92" s="72">
        <v>121</v>
      </c>
      <c r="W92" s="72">
        <v>355</v>
      </c>
      <c r="X92" s="72">
        <v>994</v>
      </c>
      <c r="Y92" s="72">
        <v>3549</v>
      </c>
    </row>
    <row r="93" spans="7:25">
      <c r="G93">
        <v>87</v>
      </c>
      <c r="H93" t="s">
        <v>413</v>
      </c>
      <c r="I93" s="72" t="s">
        <v>261</v>
      </c>
      <c r="J93" s="38">
        <f t="shared" ref="J93:J96" si="157">I93+$AD$9</f>
        <v>313</v>
      </c>
      <c r="K93" s="38">
        <f t="shared" ref="K93:K96" si="158">I93+$AD$10</f>
        <v>297</v>
      </c>
      <c r="L93" s="38">
        <f t="shared" ref="L93:L96" si="159">I93+$AD$14</f>
        <v>317</v>
      </c>
      <c r="M93" s="72" t="s">
        <v>307</v>
      </c>
      <c r="N93" s="38">
        <f t="shared" ref="N93:N96" si="160">M93+$AE$9</f>
        <v>868</v>
      </c>
      <c r="O93" s="38">
        <f t="shared" ref="O93:O96" si="161">M93+$AE$10</f>
        <v>817</v>
      </c>
      <c r="P93" s="38">
        <f t="shared" ref="P93:P96" si="162">M93+$AE$14</f>
        <v>887</v>
      </c>
      <c r="Q93" s="72" t="s">
        <v>363</v>
      </c>
      <c r="R93" s="38">
        <f t="shared" ref="R93:R96" si="163">Q93+$AF$9</f>
        <v>2977</v>
      </c>
      <c r="S93" s="38">
        <f t="shared" ref="S93:S96" si="164">Q93+$AF$10</f>
        <v>2853</v>
      </c>
      <c r="T93" s="38">
        <f t="shared" ref="T93:T96" si="165">Q93+$AF$14</f>
        <v>3177</v>
      </c>
      <c r="U93" s="3"/>
      <c r="V93" s="72">
        <v>121</v>
      </c>
      <c r="W93" s="72">
        <v>355</v>
      </c>
      <c r="X93" s="72">
        <v>994</v>
      </c>
      <c r="Y93" s="72">
        <v>3549</v>
      </c>
    </row>
    <row r="94" spans="7:25">
      <c r="G94">
        <v>88</v>
      </c>
      <c r="H94" t="s">
        <v>413</v>
      </c>
      <c r="I94" s="72" t="s">
        <v>261</v>
      </c>
      <c r="J94" s="38">
        <f t="shared" si="157"/>
        <v>313</v>
      </c>
      <c r="K94" s="38">
        <f t="shared" si="158"/>
        <v>297</v>
      </c>
      <c r="L94" s="38">
        <f t="shared" si="159"/>
        <v>317</v>
      </c>
      <c r="M94" s="72" t="s">
        <v>307</v>
      </c>
      <c r="N94" s="38">
        <f t="shared" si="160"/>
        <v>868</v>
      </c>
      <c r="O94" s="38">
        <f t="shared" si="161"/>
        <v>817</v>
      </c>
      <c r="P94" s="38">
        <f t="shared" si="162"/>
        <v>887</v>
      </c>
      <c r="Q94" s="72" t="s">
        <v>363</v>
      </c>
      <c r="R94" s="38">
        <f t="shared" si="163"/>
        <v>2977</v>
      </c>
      <c r="S94" s="38">
        <f t="shared" si="164"/>
        <v>2853</v>
      </c>
      <c r="T94" s="38">
        <f t="shared" si="165"/>
        <v>3177</v>
      </c>
      <c r="U94" s="3"/>
      <c r="V94" s="72">
        <v>121</v>
      </c>
      <c r="W94" s="72">
        <v>355</v>
      </c>
      <c r="X94" s="72">
        <v>994</v>
      </c>
      <c r="Y94" s="72">
        <v>3549</v>
      </c>
    </row>
    <row r="95" spans="7:25">
      <c r="G95">
        <v>89</v>
      </c>
      <c r="H95" t="s">
        <v>413</v>
      </c>
      <c r="I95" s="72" t="s">
        <v>261</v>
      </c>
      <c r="J95" s="38">
        <f t="shared" si="157"/>
        <v>313</v>
      </c>
      <c r="K95" s="38">
        <f t="shared" si="158"/>
        <v>297</v>
      </c>
      <c r="L95" s="38">
        <f t="shared" si="159"/>
        <v>317</v>
      </c>
      <c r="M95" s="72" t="s">
        <v>307</v>
      </c>
      <c r="N95" s="38">
        <f t="shared" si="160"/>
        <v>868</v>
      </c>
      <c r="O95" s="38">
        <f t="shared" si="161"/>
        <v>817</v>
      </c>
      <c r="P95" s="38">
        <f t="shared" si="162"/>
        <v>887</v>
      </c>
      <c r="Q95" s="72" t="s">
        <v>363</v>
      </c>
      <c r="R95" s="38">
        <f t="shared" si="163"/>
        <v>2977</v>
      </c>
      <c r="S95" s="38">
        <f t="shared" si="164"/>
        <v>2853</v>
      </c>
      <c r="T95" s="38">
        <f t="shared" si="165"/>
        <v>3177</v>
      </c>
      <c r="U95" s="3"/>
      <c r="V95" s="72">
        <v>121</v>
      </c>
      <c r="W95" s="72">
        <v>355</v>
      </c>
      <c r="X95" s="72">
        <v>994</v>
      </c>
      <c r="Y95" s="72">
        <v>3549</v>
      </c>
    </row>
    <row r="96" spans="7:25">
      <c r="G96">
        <v>90</v>
      </c>
      <c r="H96" t="s">
        <v>413</v>
      </c>
      <c r="I96" s="72" t="s">
        <v>261</v>
      </c>
      <c r="J96" s="38">
        <f t="shared" si="157"/>
        <v>313</v>
      </c>
      <c r="K96" s="38">
        <f t="shared" si="158"/>
        <v>297</v>
      </c>
      <c r="L96" s="38">
        <f t="shared" si="159"/>
        <v>317</v>
      </c>
      <c r="M96" s="72" t="s">
        <v>307</v>
      </c>
      <c r="N96" s="38">
        <f t="shared" si="160"/>
        <v>868</v>
      </c>
      <c r="O96" s="38">
        <f t="shared" si="161"/>
        <v>817</v>
      </c>
      <c r="P96" s="38">
        <f t="shared" si="162"/>
        <v>887</v>
      </c>
      <c r="Q96" s="72" t="s">
        <v>363</v>
      </c>
      <c r="R96" s="38">
        <f t="shared" si="163"/>
        <v>2977</v>
      </c>
      <c r="S96" s="38">
        <f t="shared" si="164"/>
        <v>2853</v>
      </c>
      <c r="T96" s="38">
        <f t="shared" si="165"/>
        <v>3177</v>
      </c>
      <c r="U96" s="3"/>
      <c r="V96" s="72">
        <v>121</v>
      </c>
      <c r="W96" s="72">
        <v>355</v>
      </c>
      <c r="X96" s="72">
        <v>994</v>
      </c>
      <c r="Y96" s="72">
        <v>3549</v>
      </c>
    </row>
    <row r="97" spans="7:25">
      <c r="G97">
        <v>91</v>
      </c>
      <c r="H97" t="s">
        <v>414</v>
      </c>
      <c r="I97" s="72" t="s">
        <v>262</v>
      </c>
      <c r="J97" s="38">
        <f t="shared" si="112"/>
        <v>323</v>
      </c>
      <c r="K97" s="38">
        <f t="shared" si="113"/>
        <v>307</v>
      </c>
      <c r="L97" s="38">
        <f t="shared" si="114"/>
        <v>327</v>
      </c>
      <c r="M97" s="72" t="s">
        <v>308</v>
      </c>
      <c r="N97" s="38">
        <f t="shared" si="115"/>
        <v>895</v>
      </c>
      <c r="O97" s="38">
        <f t="shared" si="116"/>
        <v>844</v>
      </c>
      <c r="P97" s="38">
        <f t="shared" si="117"/>
        <v>914</v>
      </c>
      <c r="Q97" s="72" t="s">
        <v>364</v>
      </c>
      <c r="R97" s="38">
        <f t="shared" si="118"/>
        <v>3076</v>
      </c>
      <c r="S97" s="38">
        <f t="shared" si="119"/>
        <v>2952</v>
      </c>
      <c r="T97" s="38">
        <f t="shared" si="120"/>
        <v>3276</v>
      </c>
      <c r="U97" s="3"/>
      <c r="V97" s="72">
        <v>125</v>
      </c>
      <c r="W97" s="72">
        <v>368</v>
      </c>
      <c r="X97" s="72">
        <v>1030</v>
      </c>
      <c r="Y97" s="72">
        <v>3680</v>
      </c>
    </row>
    <row r="98" spans="7:25">
      <c r="G98">
        <v>92</v>
      </c>
      <c r="H98" t="s">
        <v>414</v>
      </c>
      <c r="I98" s="72" t="s">
        <v>262</v>
      </c>
      <c r="J98" s="38">
        <f t="shared" ref="J98:J101" si="166">I98+$AD$9</f>
        <v>323</v>
      </c>
      <c r="K98" s="38">
        <f t="shared" ref="K98:K101" si="167">I98+$AD$10</f>
        <v>307</v>
      </c>
      <c r="L98" s="38">
        <f t="shared" ref="L98:L101" si="168">I98+$AD$14</f>
        <v>327</v>
      </c>
      <c r="M98" s="72" t="s">
        <v>308</v>
      </c>
      <c r="N98" s="38">
        <f t="shared" ref="N98:N101" si="169">M98+$AE$9</f>
        <v>895</v>
      </c>
      <c r="O98" s="38">
        <f t="shared" ref="O98:O101" si="170">M98+$AE$10</f>
        <v>844</v>
      </c>
      <c r="P98" s="38">
        <f t="shared" ref="P98:P101" si="171">M98+$AE$14</f>
        <v>914</v>
      </c>
      <c r="Q98" s="72" t="s">
        <v>364</v>
      </c>
      <c r="R98" s="38">
        <f t="shared" ref="R98:R101" si="172">Q98+$AF$9</f>
        <v>3076</v>
      </c>
      <c r="S98" s="38">
        <f t="shared" ref="S98:S101" si="173">Q98+$AF$10</f>
        <v>2952</v>
      </c>
      <c r="T98" s="38">
        <f t="shared" ref="T98:T101" si="174">Q98+$AF$14</f>
        <v>3276</v>
      </c>
      <c r="U98" s="3"/>
      <c r="V98" s="72">
        <v>125</v>
      </c>
      <c r="W98" s="72">
        <v>368</v>
      </c>
      <c r="X98" s="72">
        <v>1030</v>
      </c>
      <c r="Y98" s="72">
        <v>3680</v>
      </c>
    </row>
    <row r="99" spans="7:25">
      <c r="G99">
        <v>93</v>
      </c>
      <c r="H99" t="s">
        <v>414</v>
      </c>
      <c r="I99" s="72" t="s">
        <v>262</v>
      </c>
      <c r="J99" s="38">
        <f t="shared" si="166"/>
        <v>323</v>
      </c>
      <c r="K99" s="38">
        <f t="shared" si="167"/>
        <v>307</v>
      </c>
      <c r="L99" s="38">
        <f t="shared" si="168"/>
        <v>327</v>
      </c>
      <c r="M99" s="72" t="s">
        <v>308</v>
      </c>
      <c r="N99" s="38">
        <f t="shared" si="169"/>
        <v>895</v>
      </c>
      <c r="O99" s="38">
        <f t="shared" si="170"/>
        <v>844</v>
      </c>
      <c r="P99" s="38">
        <f t="shared" si="171"/>
        <v>914</v>
      </c>
      <c r="Q99" s="72" t="s">
        <v>364</v>
      </c>
      <c r="R99" s="38">
        <f t="shared" si="172"/>
        <v>3076</v>
      </c>
      <c r="S99" s="38">
        <f t="shared" si="173"/>
        <v>2952</v>
      </c>
      <c r="T99" s="38">
        <f t="shared" si="174"/>
        <v>3276</v>
      </c>
      <c r="U99" s="3"/>
      <c r="V99" s="72">
        <v>125</v>
      </c>
      <c r="W99" s="72">
        <v>368</v>
      </c>
      <c r="X99" s="72">
        <v>1030</v>
      </c>
      <c r="Y99" s="72">
        <v>3680</v>
      </c>
    </row>
    <row r="100" spans="7:25">
      <c r="G100">
        <v>94</v>
      </c>
      <c r="H100" t="s">
        <v>414</v>
      </c>
      <c r="I100" s="72" t="s">
        <v>262</v>
      </c>
      <c r="J100" s="38">
        <f t="shared" si="166"/>
        <v>323</v>
      </c>
      <c r="K100" s="38">
        <f t="shared" si="167"/>
        <v>307</v>
      </c>
      <c r="L100" s="38">
        <f t="shared" si="168"/>
        <v>327</v>
      </c>
      <c r="M100" s="72" t="s">
        <v>308</v>
      </c>
      <c r="N100" s="38">
        <f t="shared" si="169"/>
        <v>895</v>
      </c>
      <c r="O100" s="38">
        <f t="shared" si="170"/>
        <v>844</v>
      </c>
      <c r="P100" s="38">
        <f t="shared" si="171"/>
        <v>914</v>
      </c>
      <c r="Q100" s="72" t="s">
        <v>364</v>
      </c>
      <c r="R100" s="38">
        <f t="shared" si="172"/>
        <v>3076</v>
      </c>
      <c r="S100" s="38">
        <f t="shared" si="173"/>
        <v>2952</v>
      </c>
      <c r="T100" s="38">
        <f t="shared" si="174"/>
        <v>3276</v>
      </c>
      <c r="U100" s="3"/>
      <c r="V100" s="72">
        <v>125</v>
      </c>
      <c r="W100" s="72">
        <v>368</v>
      </c>
      <c r="X100" s="72">
        <v>1030</v>
      </c>
      <c r="Y100" s="72">
        <v>3680</v>
      </c>
    </row>
    <row r="101" spans="7:25">
      <c r="G101">
        <v>95</v>
      </c>
      <c r="H101" t="s">
        <v>414</v>
      </c>
      <c r="I101" s="72" t="s">
        <v>262</v>
      </c>
      <c r="J101" s="38">
        <f t="shared" si="166"/>
        <v>323</v>
      </c>
      <c r="K101" s="38">
        <f t="shared" si="167"/>
        <v>307</v>
      </c>
      <c r="L101" s="38">
        <f t="shared" si="168"/>
        <v>327</v>
      </c>
      <c r="M101" s="72" t="s">
        <v>308</v>
      </c>
      <c r="N101" s="38">
        <f t="shared" si="169"/>
        <v>895</v>
      </c>
      <c r="O101" s="38">
        <f t="shared" si="170"/>
        <v>844</v>
      </c>
      <c r="P101" s="38">
        <f t="shared" si="171"/>
        <v>914</v>
      </c>
      <c r="Q101" s="72" t="s">
        <v>364</v>
      </c>
      <c r="R101" s="38">
        <f t="shared" si="172"/>
        <v>3076</v>
      </c>
      <c r="S101" s="38">
        <f t="shared" si="173"/>
        <v>2952</v>
      </c>
      <c r="T101" s="38">
        <f t="shared" si="174"/>
        <v>3276</v>
      </c>
      <c r="U101" s="3"/>
      <c r="V101" s="72">
        <v>125</v>
      </c>
      <c r="W101" s="72">
        <v>368</v>
      </c>
      <c r="X101" s="72">
        <v>1030</v>
      </c>
      <c r="Y101" s="72">
        <v>3680</v>
      </c>
    </row>
    <row r="102" spans="7:25">
      <c r="G102">
        <v>96</v>
      </c>
      <c r="H102" t="s">
        <v>415</v>
      </c>
      <c r="I102" s="72" t="s">
        <v>263</v>
      </c>
      <c r="J102" s="38">
        <f t="shared" si="112"/>
        <v>333</v>
      </c>
      <c r="K102" s="38">
        <f t="shared" si="113"/>
        <v>317</v>
      </c>
      <c r="L102" s="38">
        <f t="shared" si="114"/>
        <v>337</v>
      </c>
      <c r="M102" s="72" t="s">
        <v>309</v>
      </c>
      <c r="N102" s="38">
        <f t="shared" si="115"/>
        <v>923</v>
      </c>
      <c r="O102" s="38">
        <f t="shared" si="116"/>
        <v>872</v>
      </c>
      <c r="P102" s="38">
        <f t="shared" si="117"/>
        <v>942</v>
      </c>
      <c r="Q102" s="72" t="s">
        <v>365</v>
      </c>
      <c r="R102" s="38">
        <f t="shared" si="118"/>
        <v>3174</v>
      </c>
      <c r="S102" s="38">
        <f t="shared" si="119"/>
        <v>3050</v>
      </c>
      <c r="T102" s="38">
        <f t="shared" si="120"/>
        <v>3374</v>
      </c>
      <c r="U102" s="3"/>
      <c r="V102" s="72">
        <v>130</v>
      </c>
      <c r="W102" s="72">
        <v>381</v>
      </c>
      <c r="X102" s="72">
        <v>1067</v>
      </c>
      <c r="Y102" s="72">
        <v>3811</v>
      </c>
    </row>
    <row r="103" spans="7:25">
      <c r="G103">
        <v>97</v>
      </c>
      <c r="H103" t="s">
        <v>415</v>
      </c>
      <c r="I103" s="72" t="s">
        <v>263</v>
      </c>
      <c r="J103" s="38">
        <f t="shared" ref="J103:J106" si="175">I103+$AD$9</f>
        <v>333</v>
      </c>
      <c r="K103" s="38">
        <f t="shared" ref="K103:K106" si="176">I103+$AD$10</f>
        <v>317</v>
      </c>
      <c r="L103" s="38">
        <f t="shared" ref="L103:L106" si="177">I103+$AD$14</f>
        <v>337</v>
      </c>
      <c r="M103" s="72" t="s">
        <v>309</v>
      </c>
      <c r="N103" s="38">
        <f t="shared" ref="N103:N106" si="178">M103+$AE$9</f>
        <v>923</v>
      </c>
      <c r="O103" s="38">
        <f t="shared" ref="O103:O106" si="179">M103+$AE$10</f>
        <v>872</v>
      </c>
      <c r="P103" s="38">
        <f t="shared" ref="P103:P106" si="180">M103+$AE$14</f>
        <v>942</v>
      </c>
      <c r="Q103" s="72" t="s">
        <v>365</v>
      </c>
      <c r="R103" s="38">
        <f t="shared" ref="R103:R106" si="181">Q103+$AF$9</f>
        <v>3174</v>
      </c>
      <c r="S103" s="38">
        <f t="shared" ref="S103:S106" si="182">Q103+$AF$10</f>
        <v>3050</v>
      </c>
      <c r="T103" s="38">
        <f t="shared" ref="T103:T106" si="183">Q103+$AF$14</f>
        <v>3374</v>
      </c>
      <c r="U103" s="3"/>
      <c r="V103" s="72">
        <v>130</v>
      </c>
      <c r="W103" s="72">
        <v>381</v>
      </c>
      <c r="X103" s="72">
        <v>1067</v>
      </c>
      <c r="Y103" s="72">
        <v>3811</v>
      </c>
    </row>
    <row r="104" spans="7:25">
      <c r="G104">
        <v>98</v>
      </c>
      <c r="H104" t="s">
        <v>415</v>
      </c>
      <c r="I104" s="72" t="s">
        <v>263</v>
      </c>
      <c r="J104" s="38">
        <f t="shared" si="175"/>
        <v>333</v>
      </c>
      <c r="K104" s="38">
        <f t="shared" si="176"/>
        <v>317</v>
      </c>
      <c r="L104" s="38">
        <f t="shared" si="177"/>
        <v>337</v>
      </c>
      <c r="M104" s="72" t="s">
        <v>309</v>
      </c>
      <c r="N104" s="38">
        <f t="shared" si="178"/>
        <v>923</v>
      </c>
      <c r="O104" s="38">
        <f t="shared" si="179"/>
        <v>872</v>
      </c>
      <c r="P104" s="38">
        <f t="shared" si="180"/>
        <v>942</v>
      </c>
      <c r="Q104" s="72" t="s">
        <v>365</v>
      </c>
      <c r="R104" s="38">
        <f t="shared" si="181"/>
        <v>3174</v>
      </c>
      <c r="S104" s="38">
        <f t="shared" si="182"/>
        <v>3050</v>
      </c>
      <c r="T104" s="38">
        <f t="shared" si="183"/>
        <v>3374</v>
      </c>
      <c r="U104" s="3"/>
      <c r="V104" s="72">
        <v>130</v>
      </c>
      <c r="W104" s="72">
        <v>381</v>
      </c>
      <c r="X104" s="72">
        <v>1067</v>
      </c>
      <c r="Y104" s="72">
        <v>3811</v>
      </c>
    </row>
    <row r="105" spans="7:25">
      <c r="G105">
        <v>99</v>
      </c>
      <c r="H105" t="s">
        <v>415</v>
      </c>
      <c r="I105" s="72" t="s">
        <v>263</v>
      </c>
      <c r="J105" s="38">
        <f t="shared" si="175"/>
        <v>333</v>
      </c>
      <c r="K105" s="38">
        <f t="shared" si="176"/>
        <v>317</v>
      </c>
      <c r="L105" s="38">
        <f t="shared" si="177"/>
        <v>337</v>
      </c>
      <c r="M105" s="72" t="s">
        <v>309</v>
      </c>
      <c r="N105" s="38">
        <f t="shared" si="178"/>
        <v>923</v>
      </c>
      <c r="O105" s="38">
        <f t="shared" si="179"/>
        <v>872</v>
      </c>
      <c r="P105" s="38">
        <f t="shared" si="180"/>
        <v>942</v>
      </c>
      <c r="Q105" s="72" t="s">
        <v>365</v>
      </c>
      <c r="R105" s="38">
        <f t="shared" si="181"/>
        <v>3174</v>
      </c>
      <c r="S105" s="38">
        <f t="shared" si="182"/>
        <v>3050</v>
      </c>
      <c r="T105" s="38">
        <f t="shared" si="183"/>
        <v>3374</v>
      </c>
      <c r="U105" s="3"/>
      <c r="V105" s="72">
        <v>130</v>
      </c>
      <c r="W105" s="72">
        <v>381</v>
      </c>
      <c r="X105" s="72">
        <v>1067</v>
      </c>
      <c r="Y105" s="72">
        <v>3811</v>
      </c>
    </row>
    <row r="106" spans="7:25">
      <c r="G106">
        <v>100</v>
      </c>
      <c r="H106" t="s">
        <v>415</v>
      </c>
      <c r="I106" s="72" t="s">
        <v>263</v>
      </c>
      <c r="J106" s="38">
        <f t="shared" si="175"/>
        <v>333</v>
      </c>
      <c r="K106" s="38">
        <f t="shared" si="176"/>
        <v>317</v>
      </c>
      <c r="L106" s="38">
        <f t="shared" si="177"/>
        <v>337</v>
      </c>
      <c r="M106" s="72" t="s">
        <v>309</v>
      </c>
      <c r="N106" s="38">
        <f t="shared" si="178"/>
        <v>923</v>
      </c>
      <c r="O106" s="38">
        <f t="shared" si="179"/>
        <v>872</v>
      </c>
      <c r="P106" s="38">
        <f t="shared" si="180"/>
        <v>942</v>
      </c>
      <c r="Q106" s="72" t="s">
        <v>365</v>
      </c>
      <c r="R106" s="38">
        <f t="shared" si="181"/>
        <v>3174</v>
      </c>
      <c r="S106" s="38">
        <f t="shared" si="182"/>
        <v>3050</v>
      </c>
      <c r="T106" s="38">
        <f t="shared" si="183"/>
        <v>3374</v>
      </c>
      <c r="U106" s="3"/>
      <c r="V106" s="72">
        <v>130</v>
      </c>
      <c r="W106" s="72">
        <v>381</v>
      </c>
      <c r="X106" s="72">
        <v>1067</v>
      </c>
      <c r="Y106" s="72">
        <v>3811</v>
      </c>
    </row>
    <row r="107" spans="7:25">
      <c r="G107">
        <v>101</v>
      </c>
      <c r="H107" t="s">
        <v>416</v>
      </c>
      <c r="I107" s="72">
        <v>297</v>
      </c>
      <c r="J107" s="38">
        <f t="shared" si="112"/>
        <v>342</v>
      </c>
      <c r="K107" s="38">
        <f t="shared" si="113"/>
        <v>326</v>
      </c>
      <c r="L107" s="38">
        <f t="shared" si="114"/>
        <v>346</v>
      </c>
      <c r="M107" s="72" t="s">
        <v>310</v>
      </c>
      <c r="N107" s="38">
        <f t="shared" ref="N107:N132" si="184">M107+$AE$9</f>
        <v>951</v>
      </c>
      <c r="O107" s="38">
        <f t="shared" ref="O107:O132" si="185">M107+$AE$10</f>
        <v>900</v>
      </c>
      <c r="P107" s="38">
        <f t="shared" si="117"/>
        <v>970</v>
      </c>
      <c r="Q107" s="72" t="s">
        <v>366</v>
      </c>
      <c r="R107" s="38">
        <f t="shared" ref="R107:R132" si="186">Q107+$AF$9</f>
        <v>3273</v>
      </c>
      <c r="S107" s="38">
        <f t="shared" ref="S107:S132" si="187">Q107+$AF$10</f>
        <v>3149</v>
      </c>
      <c r="T107" s="38">
        <f t="shared" si="120"/>
        <v>3473</v>
      </c>
      <c r="U107" s="3"/>
      <c r="V107" s="72">
        <v>134</v>
      </c>
      <c r="W107" s="72">
        <v>394</v>
      </c>
      <c r="X107" s="72">
        <v>1104</v>
      </c>
      <c r="Y107" s="72">
        <v>3941</v>
      </c>
    </row>
    <row r="108" spans="7:25">
      <c r="G108">
        <v>102</v>
      </c>
      <c r="H108" t="s">
        <v>416</v>
      </c>
      <c r="I108" s="72">
        <v>297</v>
      </c>
      <c r="J108" s="38">
        <f t="shared" ref="J108:J111" si="188">I108+$AD$9</f>
        <v>342</v>
      </c>
      <c r="K108" s="38">
        <f t="shared" ref="K108:K111" si="189">I108+$AD$10</f>
        <v>326</v>
      </c>
      <c r="L108" s="38">
        <f t="shared" ref="L108:L111" si="190">I108+$AD$14</f>
        <v>346</v>
      </c>
      <c r="M108" s="72" t="s">
        <v>310</v>
      </c>
      <c r="N108" s="38">
        <f t="shared" ref="N108:N111" si="191">M108+$AE$9</f>
        <v>951</v>
      </c>
      <c r="O108" s="38">
        <f t="shared" ref="O108:O111" si="192">M108+$AE$10</f>
        <v>900</v>
      </c>
      <c r="P108" s="38">
        <f t="shared" ref="P108:P111" si="193">M108+$AE$14</f>
        <v>970</v>
      </c>
      <c r="Q108" s="72" t="s">
        <v>366</v>
      </c>
      <c r="R108" s="38">
        <f t="shared" ref="R108:R111" si="194">Q108+$AF$9</f>
        <v>3273</v>
      </c>
      <c r="S108" s="38">
        <f t="shared" ref="S108:S111" si="195">Q108+$AF$10</f>
        <v>3149</v>
      </c>
      <c r="T108" s="38">
        <f t="shared" ref="T108:T111" si="196">Q108+$AF$14</f>
        <v>3473</v>
      </c>
      <c r="U108" s="3"/>
      <c r="V108" s="72">
        <v>134</v>
      </c>
      <c r="W108" s="72">
        <v>394</v>
      </c>
      <c r="X108" s="72">
        <v>1104</v>
      </c>
      <c r="Y108" s="72">
        <v>3941</v>
      </c>
    </row>
    <row r="109" spans="7:25">
      <c r="G109">
        <v>103</v>
      </c>
      <c r="H109" t="s">
        <v>416</v>
      </c>
      <c r="I109" s="72">
        <v>297</v>
      </c>
      <c r="J109" s="38">
        <f t="shared" si="188"/>
        <v>342</v>
      </c>
      <c r="K109" s="38">
        <f t="shared" si="189"/>
        <v>326</v>
      </c>
      <c r="L109" s="38">
        <f t="shared" si="190"/>
        <v>346</v>
      </c>
      <c r="M109" s="72" t="s">
        <v>310</v>
      </c>
      <c r="N109" s="38">
        <f t="shared" si="191"/>
        <v>951</v>
      </c>
      <c r="O109" s="38">
        <f t="shared" si="192"/>
        <v>900</v>
      </c>
      <c r="P109" s="38">
        <f t="shared" si="193"/>
        <v>970</v>
      </c>
      <c r="Q109" s="72" t="s">
        <v>366</v>
      </c>
      <c r="R109" s="38">
        <f t="shared" si="194"/>
        <v>3273</v>
      </c>
      <c r="S109" s="38">
        <f t="shared" si="195"/>
        <v>3149</v>
      </c>
      <c r="T109" s="38">
        <f t="shared" si="196"/>
        <v>3473</v>
      </c>
      <c r="U109" s="3"/>
      <c r="V109" s="72">
        <v>134</v>
      </c>
      <c r="W109" s="72">
        <v>394</v>
      </c>
      <c r="X109" s="72">
        <v>1104</v>
      </c>
      <c r="Y109" s="72">
        <v>3941</v>
      </c>
    </row>
    <row r="110" spans="7:25">
      <c r="G110">
        <v>104</v>
      </c>
      <c r="H110" t="s">
        <v>416</v>
      </c>
      <c r="I110" s="72">
        <v>297</v>
      </c>
      <c r="J110" s="38">
        <f t="shared" si="188"/>
        <v>342</v>
      </c>
      <c r="K110" s="38">
        <f t="shared" si="189"/>
        <v>326</v>
      </c>
      <c r="L110" s="38">
        <f t="shared" si="190"/>
        <v>346</v>
      </c>
      <c r="M110" s="72" t="s">
        <v>310</v>
      </c>
      <c r="N110" s="38">
        <f t="shared" si="191"/>
        <v>951</v>
      </c>
      <c r="O110" s="38">
        <f t="shared" si="192"/>
        <v>900</v>
      </c>
      <c r="P110" s="38">
        <f t="shared" si="193"/>
        <v>970</v>
      </c>
      <c r="Q110" s="72" t="s">
        <v>366</v>
      </c>
      <c r="R110" s="38">
        <f t="shared" si="194"/>
        <v>3273</v>
      </c>
      <c r="S110" s="38">
        <f t="shared" si="195"/>
        <v>3149</v>
      </c>
      <c r="T110" s="38">
        <f t="shared" si="196"/>
        <v>3473</v>
      </c>
      <c r="U110" s="3"/>
      <c r="V110" s="72">
        <v>134</v>
      </c>
      <c r="W110" s="72">
        <v>394</v>
      </c>
      <c r="X110" s="72">
        <v>1104</v>
      </c>
      <c r="Y110" s="72">
        <v>3941</v>
      </c>
    </row>
    <row r="111" spans="7:25">
      <c r="G111">
        <v>105</v>
      </c>
      <c r="H111" t="s">
        <v>416</v>
      </c>
      <c r="I111" s="72">
        <v>297</v>
      </c>
      <c r="J111" s="38">
        <f t="shared" si="188"/>
        <v>342</v>
      </c>
      <c r="K111" s="38">
        <f t="shared" si="189"/>
        <v>326</v>
      </c>
      <c r="L111" s="38">
        <f t="shared" si="190"/>
        <v>346</v>
      </c>
      <c r="M111" s="72" t="s">
        <v>310</v>
      </c>
      <c r="N111" s="38">
        <f t="shared" si="191"/>
        <v>951</v>
      </c>
      <c r="O111" s="38">
        <f t="shared" si="192"/>
        <v>900</v>
      </c>
      <c r="P111" s="38">
        <f t="shared" si="193"/>
        <v>970</v>
      </c>
      <c r="Q111" s="72" t="s">
        <v>366</v>
      </c>
      <c r="R111" s="38">
        <f t="shared" si="194"/>
        <v>3273</v>
      </c>
      <c r="S111" s="38">
        <f t="shared" si="195"/>
        <v>3149</v>
      </c>
      <c r="T111" s="38">
        <f t="shared" si="196"/>
        <v>3473</v>
      </c>
      <c r="U111" s="3"/>
      <c r="V111" s="72">
        <v>134</v>
      </c>
      <c r="W111" s="72">
        <v>394</v>
      </c>
      <c r="X111" s="72">
        <v>1104</v>
      </c>
      <c r="Y111" s="72">
        <v>3941</v>
      </c>
    </row>
    <row r="112" spans="7:25">
      <c r="G112">
        <v>106</v>
      </c>
      <c r="H112" t="s">
        <v>417</v>
      </c>
      <c r="I112" s="72">
        <v>307</v>
      </c>
      <c r="J112" s="38">
        <f t="shared" si="112"/>
        <v>352</v>
      </c>
      <c r="K112" s="38">
        <f t="shared" si="113"/>
        <v>336</v>
      </c>
      <c r="L112" s="38">
        <f t="shared" si="114"/>
        <v>356</v>
      </c>
      <c r="M112" s="72" t="s">
        <v>311</v>
      </c>
      <c r="N112" s="38">
        <f t="shared" si="184"/>
        <v>978</v>
      </c>
      <c r="O112" s="38">
        <f t="shared" si="185"/>
        <v>927</v>
      </c>
      <c r="P112" s="38">
        <f t="shared" si="117"/>
        <v>997</v>
      </c>
      <c r="Q112" s="72" t="s">
        <v>367</v>
      </c>
      <c r="R112" s="38">
        <f t="shared" si="186"/>
        <v>3371</v>
      </c>
      <c r="S112" s="38">
        <f t="shared" si="187"/>
        <v>3247</v>
      </c>
      <c r="T112" s="38">
        <f t="shared" si="120"/>
        <v>3571</v>
      </c>
      <c r="U112" s="3"/>
      <c r="V112" s="72">
        <v>139</v>
      </c>
      <c r="W112" s="72">
        <v>407</v>
      </c>
      <c r="X112" s="72">
        <v>1140</v>
      </c>
      <c r="Y112" s="72">
        <v>4072</v>
      </c>
    </row>
    <row r="113" spans="7:25">
      <c r="G113">
        <v>107</v>
      </c>
      <c r="H113" t="s">
        <v>417</v>
      </c>
      <c r="I113" s="72">
        <v>307</v>
      </c>
      <c r="J113" s="38">
        <f t="shared" ref="J113:J116" si="197">I113+$AD$9</f>
        <v>352</v>
      </c>
      <c r="K113" s="38">
        <f t="shared" ref="K113:K116" si="198">I113+$AD$10</f>
        <v>336</v>
      </c>
      <c r="L113" s="38">
        <f t="shared" ref="L113:L116" si="199">I113+$AD$14</f>
        <v>356</v>
      </c>
      <c r="M113" s="72" t="s">
        <v>311</v>
      </c>
      <c r="N113" s="38">
        <f t="shared" ref="N113:N116" si="200">M113+$AE$9</f>
        <v>978</v>
      </c>
      <c r="O113" s="38">
        <f t="shared" ref="O113:O116" si="201">M113+$AE$10</f>
        <v>927</v>
      </c>
      <c r="P113" s="38">
        <f t="shared" ref="P113:P116" si="202">M113+$AE$14</f>
        <v>997</v>
      </c>
      <c r="Q113" s="72" t="s">
        <v>367</v>
      </c>
      <c r="R113" s="38">
        <f t="shared" ref="R113:R116" si="203">Q113+$AF$9</f>
        <v>3371</v>
      </c>
      <c r="S113" s="38">
        <f t="shared" ref="S113:S116" si="204">Q113+$AF$10</f>
        <v>3247</v>
      </c>
      <c r="T113" s="38">
        <f t="shared" ref="T113:T116" si="205">Q113+$AF$14</f>
        <v>3571</v>
      </c>
      <c r="U113" s="3"/>
      <c r="V113" s="72">
        <v>139</v>
      </c>
      <c r="W113" s="72">
        <v>407</v>
      </c>
      <c r="X113" s="72">
        <v>1140</v>
      </c>
      <c r="Y113" s="72">
        <v>4072</v>
      </c>
    </row>
    <row r="114" spans="7:25">
      <c r="G114">
        <v>108</v>
      </c>
      <c r="H114" t="s">
        <v>417</v>
      </c>
      <c r="I114" s="72">
        <v>307</v>
      </c>
      <c r="J114" s="38">
        <f t="shared" si="197"/>
        <v>352</v>
      </c>
      <c r="K114" s="38">
        <f t="shared" si="198"/>
        <v>336</v>
      </c>
      <c r="L114" s="38">
        <f t="shared" si="199"/>
        <v>356</v>
      </c>
      <c r="M114" s="72" t="s">
        <v>311</v>
      </c>
      <c r="N114" s="38">
        <f t="shared" si="200"/>
        <v>978</v>
      </c>
      <c r="O114" s="38">
        <f t="shared" si="201"/>
        <v>927</v>
      </c>
      <c r="P114" s="38">
        <f t="shared" si="202"/>
        <v>997</v>
      </c>
      <c r="Q114" s="72" t="s">
        <v>367</v>
      </c>
      <c r="R114" s="38">
        <f t="shared" si="203"/>
        <v>3371</v>
      </c>
      <c r="S114" s="38">
        <f t="shared" si="204"/>
        <v>3247</v>
      </c>
      <c r="T114" s="38">
        <f t="shared" si="205"/>
        <v>3571</v>
      </c>
      <c r="U114" s="3"/>
      <c r="V114" s="72">
        <v>139</v>
      </c>
      <c r="W114" s="72">
        <v>407</v>
      </c>
      <c r="X114" s="72">
        <v>1140</v>
      </c>
      <c r="Y114" s="72">
        <v>4072</v>
      </c>
    </row>
    <row r="115" spans="7:25">
      <c r="G115">
        <v>109</v>
      </c>
      <c r="H115" t="s">
        <v>417</v>
      </c>
      <c r="I115" s="72">
        <v>307</v>
      </c>
      <c r="J115" s="38">
        <f t="shared" si="197"/>
        <v>352</v>
      </c>
      <c r="K115" s="38">
        <f t="shared" si="198"/>
        <v>336</v>
      </c>
      <c r="L115" s="38">
        <f t="shared" si="199"/>
        <v>356</v>
      </c>
      <c r="M115" s="72" t="s">
        <v>311</v>
      </c>
      <c r="N115" s="38">
        <f t="shared" si="200"/>
        <v>978</v>
      </c>
      <c r="O115" s="38">
        <f t="shared" si="201"/>
        <v>927</v>
      </c>
      <c r="P115" s="38">
        <f t="shared" si="202"/>
        <v>997</v>
      </c>
      <c r="Q115" s="72" t="s">
        <v>367</v>
      </c>
      <c r="R115" s="38">
        <f t="shared" si="203"/>
        <v>3371</v>
      </c>
      <c r="S115" s="38">
        <f t="shared" si="204"/>
        <v>3247</v>
      </c>
      <c r="T115" s="38">
        <f t="shared" si="205"/>
        <v>3571</v>
      </c>
      <c r="U115" s="3"/>
      <c r="V115" s="72">
        <v>139</v>
      </c>
      <c r="W115" s="72">
        <v>407</v>
      </c>
      <c r="X115" s="72">
        <v>1140</v>
      </c>
      <c r="Y115" s="72">
        <v>4072</v>
      </c>
    </row>
    <row r="116" spans="7:25">
      <c r="G116">
        <v>110</v>
      </c>
      <c r="H116" t="s">
        <v>417</v>
      </c>
      <c r="I116" s="72">
        <v>307</v>
      </c>
      <c r="J116" s="38">
        <f t="shared" si="197"/>
        <v>352</v>
      </c>
      <c r="K116" s="38">
        <f t="shared" si="198"/>
        <v>336</v>
      </c>
      <c r="L116" s="38">
        <f t="shared" si="199"/>
        <v>356</v>
      </c>
      <c r="M116" s="72" t="s">
        <v>311</v>
      </c>
      <c r="N116" s="38">
        <f t="shared" si="200"/>
        <v>978</v>
      </c>
      <c r="O116" s="38">
        <f t="shared" si="201"/>
        <v>927</v>
      </c>
      <c r="P116" s="38">
        <f t="shared" si="202"/>
        <v>997</v>
      </c>
      <c r="Q116" s="72" t="s">
        <v>367</v>
      </c>
      <c r="R116" s="38">
        <f t="shared" si="203"/>
        <v>3371</v>
      </c>
      <c r="S116" s="38">
        <f t="shared" si="204"/>
        <v>3247</v>
      </c>
      <c r="T116" s="38">
        <f t="shared" si="205"/>
        <v>3571</v>
      </c>
      <c r="U116" s="3"/>
      <c r="V116" s="72">
        <v>139</v>
      </c>
      <c r="W116" s="72">
        <v>407</v>
      </c>
      <c r="X116" s="72">
        <v>1140</v>
      </c>
      <c r="Y116" s="72">
        <v>4072</v>
      </c>
    </row>
    <row r="117" spans="7:25">
      <c r="G117">
        <v>111</v>
      </c>
      <c r="H117" t="s">
        <v>418</v>
      </c>
      <c r="I117" s="72">
        <v>317</v>
      </c>
      <c r="J117" s="38">
        <f t="shared" si="112"/>
        <v>362</v>
      </c>
      <c r="K117" s="38">
        <f t="shared" si="113"/>
        <v>346</v>
      </c>
      <c r="L117" s="38">
        <f t="shared" si="114"/>
        <v>366</v>
      </c>
      <c r="M117" s="72" t="s">
        <v>312</v>
      </c>
      <c r="N117" s="38">
        <f t="shared" si="184"/>
        <v>1006</v>
      </c>
      <c r="O117" s="38">
        <f t="shared" si="185"/>
        <v>955</v>
      </c>
      <c r="P117" s="38">
        <f t="shared" si="117"/>
        <v>1025</v>
      </c>
      <c r="Q117" s="72" t="s">
        <v>368</v>
      </c>
      <c r="R117" s="38">
        <f t="shared" si="186"/>
        <v>3470</v>
      </c>
      <c r="S117" s="38">
        <f t="shared" si="187"/>
        <v>3346</v>
      </c>
      <c r="T117" s="38">
        <f t="shared" si="120"/>
        <v>3670</v>
      </c>
      <c r="U117" s="3"/>
      <c r="V117" s="72">
        <v>143</v>
      </c>
      <c r="W117" s="72">
        <v>420</v>
      </c>
      <c r="X117" s="72">
        <v>1177</v>
      </c>
      <c r="Y117" s="72">
        <v>4203</v>
      </c>
    </row>
    <row r="118" spans="7:25">
      <c r="G118">
        <v>112</v>
      </c>
      <c r="H118" t="s">
        <v>418</v>
      </c>
      <c r="I118" s="72">
        <v>317</v>
      </c>
      <c r="J118" s="38">
        <f t="shared" ref="J118:J121" si="206">I118+$AD$9</f>
        <v>362</v>
      </c>
      <c r="K118" s="38">
        <f t="shared" ref="K118:K121" si="207">I118+$AD$10</f>
        <v>346</v>
      </c>
      <c r="L118" s="38">
        <f t="shared" ref="L118:L121" si="208">I118+$AD$14</f>
        <v>366</v>
      </c>
      <c r="M118" s="72" t="s">
        <v>312</v>
      </c>
      <c r="N118" s="38">
        <f t="shared" ref="N118:N121" si="209">M118+$AE$9</f>
        <v>1006</v>
      </c>
      <c r="O118" s="38">
        <f t="shared" ref="O118:O121" si="210">M118+$AE$10</f>
        <v>955</v>
      </c>
      <c r="P118" s="38">
        <f t="shared" ref="P118:P121" si="211">M118+$AE$14</f>
        <v>1025</v>
      </c>
      <c r="Q118" s="72" t="s">
        <v>368</v>
      </c>
      <c r="R118" s="38">
        <f t="shared" ref="R118:R121" si="212">Q118+$AF$9</f>
        <v>3470</v>
      </c>
      <c r="S118" s="38">
        <f t="shared" ref="S118:S121" si="213">Q118+$AF$10</f>
        <v>3346</v>
      </c>
      <c r="T118" s="38">
        <f t="shared" ref="T118:T121" si="214">Q118+$AF$14</f>
        <v>3670</v>
      </c>
      <c r="U118" s="3"/>
      <c r="V118" s="72">
        <v>143</v>
      </c>
      <c r="W118" s="72">
        <v>420</v>
      </c>
      <c r="X118" s="72">
        <v>1177</v>
      </c>
      <c r="Y118" s="72">
        <v>4203</v>
      </c>
    </row>
    <row r="119" spans="7:25">
      <c r="G119">
        <v>113</v>
      </c>
      <c r="H119" t="s">
        <v>418</v>
      </c>
      <c r="I119" s="72">
        <v>317</v>
      </c>
      <c r="J119" s="38">
        <f t="shared" si="206"/>
        <v>362</v>
      </c>
      <c r="K119" s="38">
        <f t="shared" si="207"/>
        <v>346</v>
      </c>
      <c r="L119" s="38">
        <f t="shared" si="208"/>
        <v>366</v>
      </c>
      <c r="M119" s="72" t="s">
        <v>312</v>
      </c>
      <c r="N119" s="38">
        <f t="shared" si="209"/>
        <v>1006</v>
      </c>
      <c r="O119" s="38">
        <f t="shared" si="210"/>
        <v>955</v>
      </c>
      <c r="P119" s="38">
        <f t="shared" si="211"/>
        <v>1025</v>
      </c>
      <c r="Q119" s="72" t="s">
        <v>368</v>
      </c>
      <c r="R119" s="38">
        <f t="shared" si="212"/>
        <v>3470</v>
      </c>
      <c r="S119" s="38">
        <f t="shared" si="213"/>
        <v>3346</v>
      </c>
      <c r="T119" s="38">
        <f t="shared" si="214"/>
        <v>3670</v>
      </c>
      <c r="U119" s="3"/>
      <c r="V119" s="72">
        <v>143</v>
      </c>
      <c r="W119" s="72">
        <v>420</v>
      </c>
      <c r="X119" s="72">
        <v>1177</v>
      </c>
      <c r="Y119" s="72">
        <v>4203</v>
      </c>
    </row>
    <row r="120" spans="7:25">
      <c r="G120">
        <v>114</v>
      </c>
      <c r="H120" t="s">
        <v>418</v>
      </c>
      <c r="I120" s="72">
        <v>317</v>
      </c>
      <c r="J120" s="38">
        <f t="shared" si="206"/>
        <v>362</v>
      </c>
      <c r="K120" s="38">
        <f t="shared" si="207"/>
        <v>346</v>
      </c>
      <c r="L120" s="38">
        <f t="shared" si="208"/>
        <v>366</v>
      </c>
      <c r="M120" s="72" t="s">
        <v>312</v>
      </c>
      <c r="N120" s="38">
        <f t="shared" si="209"/>
        <v>1006</v>
      </c>
      <c r="O120" s="38">
        <f t="shared" si="210"/>
        <v>955</v>
      </c>
      <c r="P120" s="38">
        <f t="shared" si="211"/>
        <v>1025</v>
      </c>
      <c r="Q120" s="72" t="s">
        <v>368</v>
      </c>
      <c r="R120" s="38">
        <f t="shared" si="212"/>
        <v>3470</v>
      </c>
      <c r="S120" s="38">
        <f t="shared" si="213"/>
        <v>3346</v>
      </c>
      <c r="T120" s="38">
        <f t="shared" si="214"/>
        <v>3670</v>
      </c>
      <c r="U120" s="3"/>
      <c r="V120" s="72">
        <v>143</v>
      </c>
      <c r="W120" s="72">
        <v>420</v>
      </c>
      <c r="X120" s="72">
        <v>1177</v>
      </c>
      <c r="Y120" s="72">
        <v>4203</v>
      </c>
    </row>
    <row r="121" spans="7:25">
      <c r="G121">
        <v>115</v>
      </c>
      <c r="H121" t="s">
        <v>418</v>
      </c>
      <c r="I121" s="72">
        <v>317</v>
      </c>
      <c r="J121" s="38">
        <f t="shared" si="206"/>
        <v>362</v>
      </c>
      <c r="K121" s="38">
        <f t="shared" si="207"/>
        <v>346</v>
      </c>
      <c r="L121" s="38">
        <f t="shared" si="208"/>
        <v>366</v>
      </c>
      <c r="M121" s="72" t="s">
        <v>312</v>
      </c>
      <c r="N121" s="38">
        <f t="shared" si="209"/>
        <v>1006</v>
      </c>
      <c r="O121" s="38">
        <f t="shared" si="210"/>
        <v>955</v>
      </c>
      <c r="P121" s="38">
        <f t="shared" si="211"/>
        <v>1025</v>
      </c>
      <c r="Q121" s="72" t="s">
        <v>368</v>
      </c>
      <c r="R121" s="38">
        <f t="shared" si="212"/>
        <v>3470</v>
      </c>
      <c r="S121" s="38">
        <f t="shared" si="213"/>
        <v>3346</v>
      </c>
      <c r="T121" s="38">
        <f t="shared" si="214"/>
        <v>3670</v>
      </c>
      <c r="U121" s="3"/>
      <c r="V121" s="72">
        <v>143</v>
      </c>
      <c r="W121" s="72">
        <v>420</v>
      </c>
      <c r="X121" s="72">
        <v>1177</v>
      </c>
      <c r="Y121" s="72">
        <v>4203</v>
      </c>
    </row>
    <row r="122" spans="7:25">
      <c r="G122">
        <v>116</v>
      </c>
      <c r="H122" t="s">
        <v>419</v>
      </c>
      <c r="I122" s="72">
        <v>327</v>
      </c>
      <c r="J122" s="38">
        <f t="shared" si="112"/>
        <v>372</v>
      </c>
      <c r="K122" s="38">
        <f t="shared" si="113"/>
        <v>356</v>
      </c>
      <c r="L122" s="38">
        <f t="shared" si="114"/>
        <v>376</v>
      </c>
      <c r="M122" s="72" t="s">
        <v>313</v>
      </c>
      <c r="N122" s="38">
        <f t="shared" si="184"/>
        <v>1033</v>
      </c>
      <c r="O122" s="38">
        <f t="shared" si="185"/>
        <v>982</v>
      </c>
      <c r="P122" s="38">
        <f t="shared" si="117"/>
        <v>1052</v>
      </c>
      <c r="Q122" s="72" t="s">
        <v>369</v>
      </c>
      <c r="R122" s="38">
        <f t="shared" si="186"/>
        <v>3569</v>
      </c>
      <c r="S122" s="38">
        <f t="shared" si="187"/>
        <v>3445</v>
      </c>
      <c r="T122" s="38">
        <f t="shared" si="120"/>
        <v>3769</v>
      </c>
      <c r="U122" s="3"/>
      <c r="V122" s="72">
        <v>148</v>
      </c>
      <c r="W122" s="72">
        <v>433</v>
      </c>
      <c r="X122" s="72">
        <v>1213</v>
      </c>
      <c r="Y122" s="72">
        <v>4333</v>
      </c>
    </row>
    <row r="123" spans="7:25">
      <c r="G123">
        <v>117</v>
      </c>
      <c r="H123" t="s">
        <v>419</v>
      </c>
      <c r="I123" s="72">
        <v>327</v>
      </c>
      <c r="J123" s="38">
        <f t="shared" ref="J123:J126" si="215">I123+$AD$9</f>
        <v>372</v>
      </c>
      <c r="K123" s="38">
        <f t="shared" ref="K123:K126" si="216">I123+$AD$10</f>
        <v>356</v>
      </c>
      <c r="L123" s="38">
        <f t="shared" ref="L123:L126" si="217">I123+$AD$14</f>
        <v>376</v>
      </c>
      <c r="M123" s="72" t="s">
        <v>313</v>
      </c>
      <c r="N123" s="38">
        <f t="shared" ref="N123:N126" si="218">M123+$AE$9</f>
        <v>1033</v>
      </c>
      <c r="O123" s="38">
        <f t="shared" ref="O123:O126" si="219">M123+$AE$10</f>
        <v>982</v>
      </c>
      <c r="P123" s="38">
        <f t="shared" ref="P123:P126" si="220">M123+$AE$14</f>
        <v>1052</v>
      </c>
      <c r="Q123" s="72" t="s">
        <v>369</v>
      </c>
      <c r="R123" s="38">
        <f t="shared" ref="R123:R126" si="221">Q123+$AF$9</f>
        <v>3569</v>
      </c>
      <c r="S123" s="38">
        <f t="shared" ref="S123:S126" si="222">Q123+$AF$10</f>
        <v>3445</v>
      </c>
      <c r="T123" s="38">
        <f t="shared" ref="T123:T126" si="223">Q123+$AF$14</f>
        <v>3769</v>
      </c>
      <c r="U123" s="3"/>
      <c r="V123" s="72">
        <v>148</v>
      </c>
      <c r="W123" s="72">
        <v>433</v>
      </c>
      <c r="X123" s="72">
        <v>1213</v>
      </c>
      <c r="Y123" s="72">
        <v>4333</v>
      </c>
    </row>
    <row r="124" spans="7:25">
      <c r="G124">
        <v>118</v>
      </c>
      <c r="H124" t="s">
        <v>419</v>
      </c>
      <c r="I124" s="72">
        <v>327</v>
      </c>
      <c r="J124" s="38">
        <f t="shared" si="215"/>
        <v>372</v>
      </c>
      <c r="K124" s="38">
        <f t="shared" si="216"/>
        <v>356</v>
      </c>
      <c r="L124" s="38">
        <f t="shared" si="217"/>
        <v>376</v>
      </c>
      <c r="M124" s="72" t="s">
        <v>313</v>
      </c>
      <c r="N124" s="38">
        <f t="shared" si="218"/>
        <v>1033</v>
      </c>
      <c r="O124" s="38">
        <f t="shared" si="219"/>
        <v>982</v>
      </c>
      <c r="P124" s="38">
        <f t="shared" si="220"/>
        <v>1052</v>
      </c>
      <c r="Q124" s="72" t="s">
        <v>369</v>
      </c>
      <c r="R124" s="38">
        <f t="shared" si="221"/>
        <v>3569</v>
      </c>
      <c r="S124" s="38">
        <f t="shared" si="222"/>
        <v>3445</v>
      </c>
      <c r="T124" s="38">
        <f t="shared" si="223"/>
        <v>3769</v>
      </c>
      <c r="U124" s="3"/>
      <c r="V124" s="72">
        <v>148</v>
      </c>
      <c r="W124" s="72">
        <v>433</v>
      </c>
      <c r="X124" s="72">
        <v>1213</v>
      </c>
      <c r="Y124" s="72">
        <v>4333</v>
      </c>
    </row>
    <row r="125" spans="7:25">
      <c r="G125">
        <v>119</v>
      </c>
      <c r="H125" t="s">
        <v>419</v>
      </c>
      <c r="I125" s="72">
        <v>327</v>
      </c>
      <c r="J125" s="38">
        <f t="shared" si="215"/>
        <v>372</v>
      </c>
      <c r="K125" s="38">
        <f t="shared" si="216"/>
        <v>356</v>
      </c>
      <c r="L125" s="38">
        <f t="shared" si="217"/>
        <v>376</v>
      </c>
      <c r="M125" s="72" t="s">
        <v>313</v>
      </c>
      <c r="N125" s="38">
        <f t="shared" si="218"/>
        <v>1033</v>
      </c>
      <c r="O125" s="38">
        <f t="shared" si="219"/>
        <v>982</v>
      </c>
      <c r="P125" s="38">
        <f t="shared" si="220"/>
        <v>1052</v>
      </c>
      <c r="Q125" s="72" t="s">
        <v>369</v>
      </c>
      <c r="R125" s="38">
        <f t="shared" si="221"/>
        <v>3569</v>
      </c>
      <c r="S125" s="38">
        <f t="shared" si="222"/>
        <v>3445</v>
      </c>
      <c r="T125" s="38">
        <f t="shared" si="223"/>
        <v>3769</v>
      </c>
      <c r="U125" s="3"/>
      <c r="V125" s="72">
        <v>148</v>
      </c>
      <c r="W125" s="72">
        <v>433</v>
      </c>
      <c r="X125" s="72">
        <v>1213</v>
      </c>
      <c r="Y125" s="72">
        <v>4333</v>
      </c>
    </row>
    <row r="126" spans="7:25">
      <c r="G126">
        <v>120</v>
      </c>
      <c r="H126" t="s">
        <v>419</v>
      </c>
      <c r="I126" s="72">
        <v>327</v>
      </c>
      <c r="J126" s="38">
        <f t="shared" si="215"/>
        <v>372</v>
      </c>
      <c r="K126" s="38">
        <f t="shared" si="216"/>
        <v>356</v>
      </c>
      <c r="L126" s="38">
        <f t="shared" si="217"/>
        <v>376</v>
      </c>
      <c r="M126" s="72" t="s">
        <v>313</v>
      </c>
      <c r="N126" s="38">
        <f t="shared" si="218"/>
        <v>1033</v>
      </c>
      <c r="O126" s="38">
        <f t="shared" si="219"/>
        <v>982</v>
      </c>
      <c r="P126" s="38">
        <f t="shared" si="220"/>
        <v>1052</v>
      </c>
      <c r="Q126" s="72" t="s">
        <v>369</v>
      </c>
      <c r="R126" s="38">
        <f t="shared" si="221"/>
        <v>3569</v>
      </c>
      <c r="S126" s="38">
        <f t="shared" si="222"/>
        <v>3445</v>
      </c>
      <c r="T126" s="38">
        <f t="shared" si="223"/>
        <v>3769</v>
      </c>
      <c r="U126" s="3"/>
      <c r="V126" s="72">
        <v>148</v>
      </c>
      <c r="W126" s="72">
        <v>433</v>
      </c>
      <c r="X126" s="72">
        <v>1213</v>
      </c>
      <c r="Y126" s="72">
        <v>4333</v>
      </c>
    </row>
    <row r="127" spans="7:25">
      <c r="G127">
        <v>121</v>
      </c>
      <c r="H127" t="s">
        <v>420</v>
      </c>
      <c r="I127" s="72">
        <v>337</v>
      </c>
      <c r="J127" s="38">
        <f t="shared" si="112"/>
        <v>382</v>
      </c>
      <c r="K127" s="38">
        <f t="shared" si="113"/>
        <v>366</v>
      </c>
      <c r="L127" s="38">
        <f t="shared" si="114"/>
        <v>386</v>
      </c>
      <c r="M127" s="72" t="s">
        <v>314</v>
      </c>
      <c r="N127" s="38">
        <f t="shared" si="184"/>
        <v>1061</v>
      </c>
      <c r="O127" s="38">
        <f t="shared" si="185"/>
        <v>1010</v>
      </c>
      <c r="P127" s="38">
        <f t="shared" si="117"/>
        <v>1080</v>
      </c>
      <c r="Q127" s="72" t="s">
        <v>370</v>
      </c>
      <c r="R127" s="38">
        <f t="shared" si="186"/>
        <v>3667</v>
      </c>
      <c r="S127" s="38">
        <f t="shared" si="187"/>
        <v>3543</v>
      </c>
      <c r="T127" s="38">
        <f t="shared" si="120"/>
        <v>3867</v>
      </c>
      <c r="U127" s="3"/>
      <c r="V127" s="72">
        <v>152</v>
      </c>
      <c r="W127" s="72">
        <v>446</v>
      </c>
      <c r="X127" s="72">
        <v>1250</v>
      </c>
      <c r="Y127" s="72">
        <v>4464</v>
      </c>
    </row>
    <row r="128" spans="7:25">
      <c r="G128">
        <v>122</v>
      </c>
      <c r="H128" t="s">
        <v>420</v>
      </c>
      <c r="I128" s="72">
        <v>337</v>
      </c>
      <c r="J128" s="38">
        <f t="shared" ref="J128:J131" si="224">I128+$AD$9</f>
        <v>382</v>
      </c>
      <c r="K128" s="38">
        <f t="shared" ref="K128:K131" si="225">I128+$AD$10</f>
        <v>366</v>
      </c>
      <c r="L128" s="38">
        <f t="shared" ref="L128:L131" si="226">I128+$AD$14</f>
        <v>386</v>
      </c>
      <c r="M128" s="72" t="s">
        <v>314</v>
      </c>
      <c r="N128" s="38">
        <f t="shared" ref="N128:N131" si="227">M128+$AE$9</f>
        <v>1061</v>
      </c>
      <c r="O128" s="38">
        <f t="shared" ref="O128:O131" si="228">M128+$AE$10</f>
        <v>1010</v>
      </c>
      <c r="P128" s="38">
        <f t="shared" ref="P128:P131" si="229">M128+$AE$14</f>
        <v>1080</v>
      </c>
      <c r="Q128" s="72" t="s">
        <v>370</v>
      </c>
      <c r="R128" s="38">
        <f t="shared" ref="R128:R131" si="230">Q128+$AF$9</f>
        <v>3667</v>
      </c>
      <c r="S128" s="38">
        <f t="shared" ref="S128:S131" si="231">Q128+$AF$10</f>
        <v>3543</v>
      </c>
      <c r="T128" s="38">
        <f t="shared" ref="T128:T131" si="232">Q128+$AF$14</f>
        <v>3867</v>
      </c>
      <c r="U128" s="3"/>
      <c r="V128" s="72">
        <v>152</v>
      </c>
      <c r="W128" s="72">
        <v>446</v>
      </c>
      <c r="X128" s="72">
        <v>1250</v>
      </c>
      <c r="Y128" s="72">
        <v>4464</v>
      </c>
    </row>
    <row r="129" spans="7:25">
      <c r="G129">
        <v>123</v>
      </c>
      <c r="H129" t="s">
        <v>420</v>
      </c>
      <c r="I129" s="72">
        <v>337</v>
      </c>
      <c r="J129" s="38">
        <f t="shared" si="224"/>
        <v>382</v>
      </c>
      <c r="K129" s="38">
        <f t="shared" si="225"/>
        <v>366</v>
      </c>
      <c r="L129" s="38">
        <f t="shared" si="226"/>
        <v>386</v>
      </c>
      <c r="M129" s="72" t="s">
        <v>314</v>
      </c>
      <c r="N129" s="38">
        <f t="shared" si="227"/>
        <v>1061</v>
      </c>
      <c r="O129" s="38">
        <f t="shared" si="228"/>
        <v>1010</v>
      </c>
      <c r="P129" s="38">
        <f t="shared" si="229"/>
        <v>1080</v>
      </c>
      <c r="Q129" s="72" t="s">
        <v>370</v>
      </c>
      <c r="R129" s="38">
        <f t="shared" si="230"/>
        <v>3667</v>
      </c>
      <c r="S129" s="38">
        <f t="shared" si="231"/>
        <v>3543</v>
      </c>
      <c r="T129" s="38">
        <f t="shared" si="232"/>
        <v>3867</v>
      </c>
      <c r="U129" s="3"/>
      <c r="V129" s="72">
        <v>152</v>
      </c>
      <c r="W129" s="72">
        <v>446</v>
      </c>
      <c r="X129" s="72">
        <v>1250</v>
      </c>
      <c r="Y129" s="72">
        <v>4464</v>
      </c>
    </row>
    <row r="130" spans="7:25">
      <c r="G130">
        <v>124</v>
      </c>
      <c r="H130" t="s">
        <v>420</v>
      </c>
      <c r="I130" s="72">
        <v>337</v>
      </c>
      <c r="J130" s="38">
        <f t="shared" si="224"/>
        <v>382</v>
      </c>
      <c r="K130" s="38">
        <f t="shared" si="225"/>
        <v>366</v>
      </c>
      <c r="L130" s="38">
        <f t="shared" si="226"/>
        <v>386</v>
      </c>
      <c r="M130" s="72" t="s">
        <v>314</v>
      </c>
      <c r="N130" s="38">
        <f t="shared" si="227"/>
        <v>1061</v>
      </c>
      <c r="O130" s="38">
        <f t="shared" si="228"/>
        <v>1010</v>
      </c>
      <c r="P130" s="38">
        <f t="shared" si="229"/>
        <v>1080</v>
      </c>
      <c r="Q130" s="72" t="s">
        <v>370</v>
      </c>
      <c r="R130" s="38">
        <f t="shared" si="230"/>
        <v>3667</v>
      </c>
      <c r="S130" s="38">
        <f t="shared" si="231"/>
        <v>3543</v>
      </c>
      <c r="T130" s="38">
        <f t="shared" si="232"/>
        <v>3867</v>
      </c>
      <c r="U130" s="3"/>
      <c r="V130" s="72">
        <v>152</v>
      </c>
      <c r="W130" s="72">
        <v>446</v>
      </c>
      <c r="X130" s="72">
        <v>1250</v>
      </c>
      <c r="Y130" s="72">
        <v>4464</v>
      </c>
    </row>
    <row r="131" spans="7:25">
      <c r="G131">
        <v>125</v>
      </c>
      <c r="H131" t="s">
        <v>420</v>
      </c>
      <c r="I131" s="72">
        <v>337</v>
      </c>
      <c r="J131" s="38">
        <f t="shared" si="224"/>
        <v>382</v>
      </c>
      <c r="K131" s="38">
        <f t="shared" si="225"/>
        <v>366</v>
      </c>
      <c r="L131" s="38">
        <f t="shared" si="226"/>
        <v>386</v>
      </c>
      <c r="M131" s="72" t="s">
        <v>314</v>
      </c>
      <c r="N131" s="38">
        <f t="shared" si="227"/>
        <v>1061</v>
      </c>
      <c r="O131" s="38">
        <f t="shared" si="228"/>
        <v>1010</v>
      </c>
      <c r="P131" s="38">
        <f t="shared" si="229"/>
        <v>1080</v>
      </c>
      <c r="Q131" s="72" t="s">
        <v>370</v>
      </c>
      <c r="R131" s="38">
        <f t="shared" si="230"/>
        <v>3667</v>
      </c>
      <c r="S131" s="38">
        <f t="shared" si="231"/>
        <v>3543</v>
      </c>
      <c r="T131" s="38">
        <f t="shared" si="232"/>
        <v>3867</v>
      </c>
      <c r="U131" s="3"/>
      <c r="V131" s="72">
        <v>152</v>
      </c>
      <c r="W131" s="72">
        <v>446</v>
      </c>
      <c r="X131" s="72">
        <v>1250</v>
      </c>
      <c r="Y131" s="72">
        <v>4464</v>
      </c>
    </row>
    <row r="132" spans="7:25">
      <c r="G132">
        <v>126</v>
      </c>
      <c r="H132" t="s">
        <v>421</v>
      </c>
      <c r="I132" s="72">
        <v>347</v>
      </c>
      <c r="J132" s="38">
        <f t="shared" si="112"/>
        <v>392</v>
      </c>
      <c r="K132" s="38">
        <f t="shared" si="113"/>
        <v>376</v>
      </c>
      <c r="L132" s="38">
        <f t="shared" si="114"/>
        <v>396</v>
      </c>
      <c r="M132" s="72" t="s">
        <v>315</v>
      </c>
      <c r="N132" s="38">
        <f t="shared" si="184"/>
        <v>1089</v>
      </c>
      <c r="O132" s="38">
        <f t="shared" si="185"/>
        <v>1038</v>
      </c>
      <c r="P132" s="38">
        <f t="shared" si="117"/>
        <v>1108</v>
      </c>
      <c r="Q132" s="72" t="s">
        <v>371</v>
      </c>
      <c r="R132" s="38">
        <f t="shared" si="186"/>
        <v>3766</v>
      </c>
      <c r="S132" s="38">
        <f t="shared" si="187"/>
        <v>3642</v>
      </c>
      <c r="T132" s="38">
        <f t="shared" si="120"/>
        <v>3966</v>
      </c>
      <c r="U132" s="3"/>
      <c r="V132" s="72">
        <v>157</v>
      </c>
      <c r="W132" s="72">
        <v>459</v>
      </c>
      <c r="X132" s="72">
        <v>1286</v>
      </c>
      <c r="Y132" s="72">
        <v>4595</v>
      </c>
    </row>
    <row r="133" spans="7:25">
      <c r="G133">
        <v>127</v>
      </c>
      <c r="H133" t="s">
        <v>421</v>
      </c>
      <c r="I133" s="72">
        <v>347</v>
      </c>
      <c r="J133" s="38">
        <f t="shared" ref="J133:J136" si="233">I133+$AD$9</f>
        <v>392</v>
      </c>
      <c r="K133" s="38">
        <f t="shared" ref="K133:K136" si="234">I133+$AD$10</f>
        <v>376</v>
      </c>
      <c r="L133" s="38">
        <f t="shared" ref="L133:L136" si="235">I133+$AD$14</f>
        <v>396</v>
      </c>
      <c r="M133" s="72" t="s">
        <v>315</v>
      </c>
      <c r="N133" s="38">
        <f t="shared" ref="N133:N136" si="236">M133+$AE$9</f>
        <v>1089</v>
      </c>
      <c r="O133" s="38">
        <f t="shared" ref="O133:O136" si="237">M133+$AE$10</f>
        <v>1038</v>
      </c>
      <c r="P133" s="38">
        <f t="shared" ref="P133:P136" si="238">M133+$AE$14</f>
        <v>1108</v>
      </c>
      <c r="Q133" s="72" t="s">
        <v>371</v>
      </c>
      <c r="R133" s="38">
        <f t="shared" ref="R133:R136" si="239">Q133+$AF$9</f>
        <v>3766</v>
      </c>
      <c r="S133" s="38">
        <f t="shared" ref="S133:S136" si="240">Q133+$AF$10</f>
        <v>3642</v>
      </c>
      <c r="T133" s="38">
        <f t="shared" ref="T133:T136" si="241">Q133+$AF$14</f>
        <v>3966</v>
      </c>
      <c r="U133" s="3"/>
      <c r="V133" s="72">
        <v>157</v>
      </c>
      <c r="W133" s="72">
        <v>459</v>
      </c>
      <c r="X133" s="72">
        <v>1286</v>
      </c>
      <c r="Y133" s="72">
        <v>4595</v>
      </c>
    </row>
    <row r="134" spans="7:25">
      <c r="G134">
        <v>128</v>
      </c>
      <c r="H134" t="s">
        <v>421</v>
      </c>
      <c r="I134" s="72">
        <v>347</v>
      </c>
      <c r="J134" s="38">
        <f t="shared" si="233"/>
        <v>392</v>
      </c>
      <c r="K134" s="38">
        <f t="shared" si="234"/>
        <v>376</v>
      </c>
      <c r="L134" s="38">
        <f t="shared" si="235"/>
        <v>396</v>
      </c>
      <c r="M134" s="72" t="s">
        <v>315</v>
      </c>
      <c r="N134" s="38">
        <f t="shared" si="236"/>
        <v>1089</v>
      </c>
      <c r="O134" s="38">
        <f t="shared" si="237"/>
        <v>1038</v>
      </c>
      <c r="P134" s="38">
        <f t="shared" si="238"/>
        <v>1108</v>
      </c>
      <c r="Q134" s="72" t="s">
        <v>371</v>
      </c>
      <c r="R134" s="38">
        <f t="shared" si="239"/>
        <v>3766</v>
      </c>
      <c r="S134" s="38">
        <f t="shared" si="240"/>
        <v>3642</v>
      </c>
      <c r="T134" s="38">
        <f t="shared" si="241"/>
        <v>3966</v>
      </c>
      <c r="U134" s="3"/>
      <c r="V134" s="72">
        <v>157</v>
      </c>
      <c r="W134" s="72">
        <v>459</v>
      </c>
      <c r="X134" s="72">
        <v>1286</v>
      </c>
      <c r="Y134" s="72">
        <v>4595</v>
      </c>
    </row>
    <row r="135" spans="7:25">
      <c r="G135">
        <v>129</v>
      </c>
      <c r="H135" t="s">
        <v>421</v>
      </c>
      <c r="I135" s="72">
        <v>347</v>
      </c>
      <c r="J135" s="38">
        <f t="shared" si="233"/>
        <v>392</v>
      </c>
      <c r="K135" s="38">
        <f t="shared" si="234"/>
        <v>376</v>
      </c>
      <c r="L135" s="38">
        <f t="shared" si="235"/>
        <v>396</v>
      </c>
      <c r="M135" s="72" t="s">
        <v>315</v>
      </c>
      <c r="N135" s="38">
        <f t="shared" si="236"/>
        <v>1089</v>
      </c>
      <c r="O135" s="38">
        <f t="shared" si="237"/>
        <v>1038</v>
      </c>
      <c r="P135" s="38">
        <f t="shared" si="238"/>
        <v>1108</v>
      </c>
      <c r="Q135" s="72" t="s">
        <v>371</v>
      </c>
      <c r="R135" s="38">
        <f t="shared" si="239"/>
        <v>3766</v>
      </c>
      <c r="S135" s="38">
        <f t="shared" si="240"/>
        <v>3642</v>
      </c>
      <c r="T135" s="38">
        <f t="shared" si="241"/>
        <v>3966</v>
      </c>
      <c r="U135" s="3"/>
      <c r="V135" s="72">
        <v>157</v>
      </c>
      <c r="W135" s="72">
        <v>459</v>
      </c>
      <c r="X135" s="72">
        <v>1286</v>
      </c>
      <c r="Y135" s="72">
        <v>4595</v>
      </c>
    </row>
    <row r="136" spans="7:25">
      <c r="G136">
        <v>130</v>
      </c>
      <c r="H136" t="s">
        <v>421</v>
      </c>
      <c r="I136" s="72">
        <v>347</v>
      </c>
      <c r="J136" s="38">
        <f t="shared" si="233"/>
        <v>392</v>
      </c>
      <c r="K136" s="38">
        <f t="shared" si="234"/>
        <v>376</v>
      </c>
      <c r="L136" s="38">
        <f t="shared" si="235"/>
        <v>396</v>
      </c>
      <c r="M136" s="72" t="s">
        <v>315</v>
      </c>
      <c r="N136" s="38">
        <f t="shared" si="236"/>
        <v>1089</v>
      </c>
      <c r="O136" s="38">
        <f t="shared" si="237"/>
        <v>1038</v>
      </c>
      <c r="P136" s="38">
        <f t="shared" si="238"/>
        <v>1108</v>
      </c>
      <c r="Q136" s="72" t="s">
        <v>371</v>
      </c>
      <c r="R136" s="38">
        <f t="shared" si="239"/>
        <v>3766</v>
      </c>
      <c r="S136" s="38">
        <f t="shared" si="240"/>
        <v>3642</v>
      </c>
      <c r="T136" s="38">
        <f t="shared" si="241"/>
        <v>3966</v>
      </c>
      <c r="U136" s="3"/>
      <c r="V136" s="72">
        <v>157</v>
      </c>
      <c r="W136" s="72">
        <v>459</v>
      </c>
      <c r="X136" s="72">
        <v>1286</v>
      </c>
      <c r="Y136" s="72">
        <v>4595</v>
      </c>
    </row>
    <row r="137" spans="7:25">
      <c r="G137">
        <v>131</v>
      </c>
      <c r="H137" t="s">
        <v>422</v>
      </c>
      <c r="I137" s="72">
        <v>357</v>
      </c>
      <c r="J137" s="38">
        <f t="shared" ref="J137:J152" si="242">I137+$AD$9</f>
        <v>402</v>
      </c>
      <c r="K137" s="38">
        <f t="shared" ref="K137:K152" si="243">I137+$AD$10</f>
        <v>386</v>
      </c>
      <c r="L137" s="38">
        <f t="shared" ref="L137:L152" si="244">I137+$AD$14</f>
        <v>406</v>
      </c>
      <c r="M137" s="72" t="s">
        <v>316</v>
      </c>
      <c r="N137" s="38">
        <f t="shared" ref="N137:N152" si="245">M137+$AE$9</f>
        <v>1116</v>
      </c>
      <c r="O137" s="38">
        <f t="shared" ref="O137:O152" si="246">M137+$AE$10</f>
        <v>1065</v>
      </c>
      <c r="P137" s="38">
        <f t="shared" ref="P137:P152" si="247">M137+$AE$14</f>
        <v>1135</v>
      </c>
      <c r="Q137" s="72" t="s">
        <v>372</v>
      </c>
      <c r="R137" s="38">
        <f t="shared" ref="R137:R152" si="248">Q137+$AF$9</f>
        <v>3864</v>
      </c>
      <c r="S137" s="38">
        <f t="shared" ref="S137:S152" si="249">Q137+$AF$10</f>
        <v>3740</v>
      </c>
      <c r="T137" s="38">
        <f t="shared" ref="T137:T152" si="250">Q137+$AF$14</f>
        <v>4064</v>
      </c>
      <c r="U137" s="3"/>
      <c r="V137" s="72">
        <v>161</v>
      </c>
      <c r="W137" s="72">
        <v>473</v>
      </c>
      <c r="X137" s="72">
        <v>1323</v>
      </c>
      <c r="Y137" s="72">
        <v>4725</v>
      </c>
    </row>
    <row r="138" spans="7:25">
      <c r="G138">
        <v>132</v>
      </c>
      <c r="H138" t="s">
        <v>422</v>
      </c>
      <c r="I138" s="72">
        <v>357</v>
      </c>
      <c r="J138" s="38">
        <f t="shared" ref="J138:J141" si="251">I138+$AD$9</f>
        <v>402</v>
      </c>
      <c r="K138" s="38">
        <f t="shared" ref="K138:K141" si="252">I138+$AD$10</f>
        <v>386</v>
      </c>
      <c r="L138" s="38">
        <f t="shared" ref="L138:L141" si="253">I138+$AD$14</f>
        <v>406</v>
      </c>
      <c r="M138" s="72" t="s">
        <v>316</v>
      </c>
      <c r="N138" s="38">
        <f t="shared" ref="N138:N141" si="254">M138+$AE$9</f>
        <v>1116</v>
      </c>
      <c r="O138" s="38">
        <f t="shared" ref="O138:O141" si="255">M138+$AE$10</f>
        <v>1065</v>
      </c>
      <c r="P138" s="38">
        <f t="shared" ref="P138:P141" si="256">M138+$AE$14</f>
        <v>1135</v>
      </c>
      <c r="Q138" s="72" t="s">
        <v>372</v>
      </c>
      <c r="R138" s="38">
        <f t="shared" ref="R138:R141" si="257">Q138+$AF$9</f>
        <v>3864</v>
      </c>
      <c r="S138" s="38">
        <f t="shared" ref="S138:S141" si="258">Q138+$AF$10</f>
        <v>3740</v>
      </c>
      <c r="T138" s="38">
        <f t="shared" ref="T138:T141" si="259">Q138+$AF$14</f>
        <v>4064</v>
      </c>
      <c r="U138" s="3"/>
      <c r="V138" s="72">
        <v>161</v>
      </c>
      <c r="W138" s="72">
        <v>473</v>
      </c>
      <c r="X138" s="72">
        <v>1323</v>
      </c>
      <c r="Y138" s="72">
        <v>4725</v>
      </c>
    </row>
    <row r="139" spans="7:25">
      <c r="G139">
        <v>133</v>
      </c>
      <c r="H139" t="s">
        <v>422</v>
      </c>
      <c r="I139" s="72">
        <v>357</v>
      </c>
      <c r="J139" s="38">
        <f t="shared" si="251"/>
        <v>402</v>
      </c>
      <c r="K139" s="38">
        <f t="shared" si="252"/>
        <v>386</v>
      </c>
      <c r="L139" s="38">
        <f t="shared" si="253"/>
        <v>406</v>
      </c>
      <c r="M139" s="72" t="s">
        <v>316</v>
      </c>
      <c r="N139" s="38">
        <f t="shared" si="254"/>
        <v>1116</v>
      </c>
      <c r="O139" s="38">
        <f t="shared" si="255"/>
        <v>1065</v>
      </c>
      <c r="P139" s="38">
        <f t="shared" si="256"/>
        <v>1135</v>
      </c>
      <c r="Q139" s="72" t="s">
        <v>372</v>
      </c>
      <c r="R139" s="38">
        <f t="shared" si="257"/>
        <v>3864</v>
      </c>
      <c r="S139" s="38">
        <f t="shared" si="258"/>
        <v>3740</v>
      </c>
      <c r="T139" s="38">
        <f t="shared" si="259"/>
        <v>4064</v>
      </c>
      <c r="U139" s="3"/>
      <c r="V139" s="72">
        <v>161</v>
      </c>
      <c r="W139" s="72">
        <v>473</v>
      </c>
      <c r="X139" s="72">
        <v>1323</v>
      </c>
      <c r="Y139" s="72">
        <v>4725</v>
      </c>
    </row>
    <row r="140" spans="7:25">
      <c r="G140">
        <v>134</v>
      </c>
      <c r="H140" t="s">
        <v>422</v>
      </c>
      <c r="I140" s="72">
        <v>357</v>
      </c>
      <c r="J140" s="38">
        <f t="shared" si="251"/>
        <v>402</v>
      </c>
      <c r="K140" s="38">
        <f t="shared" si="252"/>
        <v>386</v>
      </c>
      <c r="L140" s="38">
        <f t="shared" si="253"/>
        <v>406</v>
      </c>
      <c r="M140" s="72" t="s">
        <v>316</v>
      </c>
      <c r="N140" s="38">
        <f t="shared" si="254"/>
        <v>1116</v>
      </c>
      <c r="O140" s="38">
        <f t="shared" si="255"/>
        <v>1065</v>
      </c>
      <c r="P140" s="38">
        <f t="shared" si="256"/>
        <v>1135</v>
      </c>
      <c r="Q140" s="72" t="s">
        <v>372</v>
      </c>
      <c r="R140" s="38">
        <f t="shared" si="257"/>
        <v>3864</v>
      </c>
      <c r="S140" s="38">
        <f t="shared" si="258"/>
        <v>3740</v>
      </c>
      <c r="T140" s="38">
        <f t="shared" si="259"/>
        <v>4064</v>
      </c>
      <c r="U140" s="3"/>
      <c r="V140" s="72">
        <v>161</v>
      </c>
      <c r="W140" s="72">
        <v>473</v>
      </c>
      <c r="X140" s="72">
        <v>1323</v>
      </c>
      <c r="Y140" s="72">
        <v>4725</v>
      </c>
    </row>
    <row r="141" spans="7:25">
      <c r="G141">
        <v>135</v>
      </c>
      <c r="H141" t="s">
        <v>422</v>
      </c>
      <c r="I141" s="72">
        <v>357</v>
      </c>
      <c r="J141" s="38">
        <f t="shared" si="251"/>
        <v>402</v>
      </c>
      <c r="K141" s="38">
        <f t="shared" si="252"/>
        <v>386</v>
      </c>
      <c r="L141" s="38">
        <f t="shared" si="253"/>
        <v>406</v>
      </c>
      <c r="M141" s="72" t="s">
        <v>316</v>
      </c>
      <c r="N141" s="38">
        <f t="shared" si="254"/>
        <v>1116</v>
      </c>
      <c r="O141" s="38">
        <f t="shared" si="255"/>
        <v>1065</v>
      </c>
      <c r="P141" s="38">
        <f t="shared" si="256"/>
        <v>1135</v>
      </c>
      <c r="Q141" s="72" t="s">
        <v>372</v>
      </c>
      <c r="R141" s="38">
        <f t="shared" si="257"/>
        <v>3864</v>
      </c>
      <c r="S141" s="38">
        <f t="shared" si="258"/>
        <v>3740</v>
      </c>
      <c r="T141" s="38">
        <f t="shared" si="259"/>
        <v>4064</v>
      </c>
      <c r="U141" s="3"/>
      <c r="V141" s="72">
        <v>161</v>
      </c>
      <c r="W141" s="72">
        <v>473</v>
      </c>
      <c r="X141" s="72">
        <v>1323</v>
      </c>
      <c r="Y141" s="72">
        <v>4725</v>
      </c>
    </row>
    <row r="142" spans="7:25">
      <c r="G142">
        <v>136</v>
      </c>
      <c r="H142" t="s">
        <v>423</v>
      </c>
      <c r="I142" s="72">
        <v>366</v>
      </c>
      <c r="J142" s="38">
        <f t="shared" si="242"/>
        <v>411</v>
      </c>
      <c r="K142" s="38">
        <f t="shared" si="243"/>
        <v>395</v>
      </c>
      <c r="L142" s="38">
        <f t="shared" si="244"/>
        <v>415</v>
      </c>
      <c r="M142" s="72" t="s">
        <v>317</v>
      </c>
      <c r="N142" s="38">
        <f t="shared" si="245"/>
        <v>1144</v>
      </c>
      <c r="O142" s="38">
        <f t="shared" si="246"/>
        <v>1093</v>
      </c>
      <c r="P142" s="38">
        <f t="shared" si="247"/>
        <v>1163</v>
      </c>
      <c r="Q142" s="72" t="s">
        <v>373</v>
      </c>
      <c r="R142" s="38">
        <f t="shared" si="248"/>
        <v>3963</v>
      </c>
      <c r="S142" s="38">
        <f t="shared" si="249"/>
        <v>3839</v>
      </c>
      <c r="T142" s="38">
        <f t="shared" si="250"/>
        <v>4163</v>
      </c>
      <c r="U142" s="3"/>
      <c r="V142" s="72">
        <v>166</v>
      </c>
      <c r="W142" s="72">
        <v>486</v>
      </c>
      <c r="X142" s="72">
        <v>1360</v>
      </c>
      <c r="Y142" s="72">
        <v>4856</v>
      </c>
    </row>
    <row r="143" spans="7:25">
      <c r="G143">
        <v>137</v>
      </c>
      <c r="H143" t="s">
        <v>423</v>
      </c>
      <c r="I143" s="72">
        <v>366</v>
      </c>
      <c r="J143" s="38">
        <f t="shared" ref="J143:J146" si="260">I143+$AD$9</f>
        <v>411</v>
      </c>
      <c r="K143" s="38">
        <f t="shared" ref="K143:K146" si="261">I143+$AD$10</f>
        <v>395</v>
      </c>
      <c r="L143" s="38">
        <f t="shared" ref="L143:L146" si="262">I143+$AD$14</f>
        <v>415</v>
      </c>
      <c r="M143" s="72" t="s">
        <v>317</v>
      </c>
      <c r="N143" s="38">
        <f t="shared" ref="N143:N146" si="263">M143+$AE$9</f>
        <v>1144</v>
      </c>
      <c r="O143" s="38">
        <f t="shared" ref="O143:O146" si="264">M143+$AE$10</f>
        <v>1093</v>
      </c>
      <c r="P143" s="38">
        <f t="shared" ref="P143:P146" si="265">M143+$AE$14</f>
        <v>1163</v>
      </c>
      <c r="Q143" s="72" t="s">
        <v>373</v>
      </c>
      <c r="R143" s="38">
        <f t="shared" ref="R143:R146" si="266">Q143+$AF$9</f>
        <v>3963</v>
      </c>
      <c r="S143" s="38">
        <f t="shared" ref="S143:S146" si="267">Q143+$AF$10</f>
        <v>3839</v>
      </c>
      <c r="T143" s="38">
        <f t="shared" ref="T143:T146" si="268">Q143+$AF$14</f>
        <v>4163</v>
      </c>
      <c r="U143" s="3"/>
      <c r="V143" s="72">
        <v>166</v>
      </c>
      <c r="W143" s="72">
        <v>486</v>
      </c>
      <c r="X143" s="72">
        <v>1360</v>
      </c>
      <c r="Y143" s="72">
        <v>4856</v>
      </c>
    </row>
    <row r="144" spans="7:25">
      <c r="G144">
        <v>138</v>
      </c>
      <c r="H144" t="s">
        <v>423</v>
      </c>
      <c r="I144" s="72">
        <v>366</v>
      </c>
      <c r="J144" s="38">
        <f t="shared" si="260"/>
        <v>411</v>
      </c>
      <c r="K144" s="38">
        <f t="shared" si="261"/>
        <v>395</v>
      </c>
      <c r="L144" s="38">
        <f t="shared" si="262"/>
        <v>415</v>
      </c>
      <c r="M144" s="72" t="s">
        <v>317</v>
      </c>
      <c r="N144" s="38">
        <f t="shared" si="263"/>
        <v>1144</v>
      </c>
      <c r="O144" s="38">
        <f t="shared" si="264"/>
        <v>1093</v>
      </c>
      <c r="P144" s="38">
        <f t="shared" si="265"/>
        <v>1163</v>
      </c>
      <c r="Q144" s="72" t="s">
        <v>373</v>
      </c>
      <c r="R144" s="38">
        <f t="shared" si="266"/>
        <v>3963</v>
      </c>
      <c r="S144" s="38">
        <f t="shared" si="267"/>
        <v>3839</v>
      </c>
      <c r="T144" s="38">
        <f t="shared" si="268"/>
        <v>4163</v>
      </c>
      <c r="U144" s="3"/>
      <c r="V144" s="72">
        <v>166</v>
      </c>
      <c r="W144" s="72">
        <v>486</v>
      </c>
      <c r="X144" s="72">
        <v>1360</v>
      </c>
      <c r="Y144" s="72">
        <v>4856</v>
      </c>
    </row>
    <row r="145" spans="7:25">
      <c r="G145">
        <v>139</v>
      </c>
      <c r="H145" t="s">
        <v>423</v>
      </c>
      <c r="I145" s="72">
        <v>366</v>
      </c>
      <c r="J145" s="38">
        <f t="shared" si="260"/>
        <v>411</v>
      </c>
      <c r="K145" s="38">
        <f t="shared" si="261"/>
        <v>395</v>
      </c>
      <c r="L145" s="38">
        <f t="shared" si="262"/>
        <v>415</v>
      </c>
      <c r="M145" s="72" t="s">
        <v>317</v>
      </c>
      <c r="N145" s="38">
        <f t="shared" si="263"/>
        <v>1144</v>
      </c>
      <c r="O145" s="38">
        <f t="shared" si="264"/>
        <v>1093</v>
      </c>
      <c r="P145" s="38">
        <f t="shared" si="265"/>
        <v>1163</v>
      </c>
      <c r="Q145" s="72" t="s">
        <v>373</v>
      </c>
      <c r="R145" s="38">
        <f t="shared" si="266"/>
        <v>3963</v>
      </c>
      <c r="S145" s="38">
        <f t="shared" si="267"/>
        <v>3839</v>
      </c>
      <c r="T145" s="38">
        <f t="shared" si="268"/>
        <v>4163</v>
      </c>
      <c r="U145" s="3"/>
      <c r="V145" s="72">
        <v>166</v>
      </c>
      <c r="W145" s="72">
        <v>486</v>
      </c>
      <c r="X145" s="72">
        <v>1360</v>
      </c>
      <c r="Y145" s="72">
        <v>4856</v>
      </c>
    </row>
    <row r="146" spans="7:25">
      <c r="G146">
        <v>140</v>
      </c>
      <c r="H146" t="s">
        <v>423</v>
      </c>
      <c r="I146" s="72">
        <v>366</v>
      </c>
      <c r="J146" s="38">
        <f t="shared" si="260"/>
        <v>411</v>
      </c>
      <c r="K146" s="38">
        <f t="shared" si="261"/>
        <v>395</v>
      </c>
      <c r="L146" s="38">
        <f t="shared" si="262"/>
        <v>415</v>
      </c>
      <c r="M146" s="72" t="s">
        <v>317</v>
      </c>
      <c r="N146" s="38">
        <f t="shared" si="263"/>
        <v>1144</v>
      </c>
      <c r="O146" s="38">
        <f t="shared" si="264"/>
        <v>1093</v>
      </c>
      <c r="P146" s="38">
        <f t="shared" si="265"/>
        <v>1163</v>
      </c>
      <c r="Q146" s="72" t="s">
        <v>373</v>
      </c>
      <c r="R146" s="38">
        <f t="shared" si="266"/>
        <v>3963</v>
      </c>
      <c r="S146" s="38">
        <f t="shared" si="267"/>
        <v>3839</v>
      </c>
      <c r="T146" s="38">
        <f t="shared" si="268"/>
        <v>4163</v>
      </c>
      <c r="U146" s="3"/>
      <c r="V146" s="72">
        <v>166</v>
      </c>
      <c r="W146" s="72">
        <v>486</v>
      </c>
      <c r="X146" s="72">
        <v>1360</v>
      </c>
      <c r="Y146" s="72">
        <v>4856</v>
      </c>
    </row>
    <row r="147" spans="7:25">
      <c r="G147">
        <v>141</v>
      </c>
      <c r="H147" t="s">
        <v>424</v>
      </c>
      <c r="I147" s="72">
        <v>376</v>
      </c>
      <c r="J147" s="38">
        <f t="shared" si="242"/>
        <v>421</v>
      </c>
      <c r="K147" s="38">
        <f t="shared" si="243"/>
        <v>405</v>
      </c>
      <c r="L147" s="38">
        <f t="shared" si="244"/>
        <v>425</v>
      </c>
      <c r="M147" s="72" t="s">
        <v>318</v>
      </c>
      <c r="N147" s="38">
        <f t="shared" si="245"/>
        <v>1171</v>
      </c>
      <c r="O147" s="38">
        <f t="shared" si="246"/>
        <v>1120</v>
      </c>
      <c r="P147" s="38">
        <f t="shared" si="247"/>
        <v>1190</v>
      </c>
      <c r="Q147" s="72" t="s">
        <v>374</v>
      </c>
      <c r="R147" s="38">
        <f t="shared" si="248"/>
        <v>4061</v>
      </c>
      <c r="S147" s="38">
        <f t="shared" si="249"/>
        <v>3937</v>
      </c>
      <c r="T147" s="38">
        <f t="shared" si="250"/>
        <v>4261</v>
      </c>
      <c r="U147" s="3"/>
      <c r="V147" s="72">
        <v>170</v>
      </c>
      <c r="W147" s="72">
        <v>499</v>
      </c>
      <c r="X147" s="72">
        <v>1396</v>
      </c>
      <c r="Y147" s="72">
        <v>4987</v>
      </c>
    </row>
    <row r="148" spans="7:25">
      <c r="G148">
        <v>142</v>
      </c>
      <c r="H148" t="s">
        <v>424</v>
      </c>
      <c r="I148" s="72">
        <v>376</v>
      </c>
      <c r="J148" s="38">
        <f t="shared" ref="J148:J151" si="269">I148+$AD$9</f>
        <v>421</v>
      </c>
      <c r="K148" s="38">
        <f t="shared" ref="K148:K151" si="270">I148+$AD$10</f>
        <v>405</v>
      </c>
      <c r="L148" s="38">
        <f t="shared" ref="L148:L151" si="271">I148+$AD$14</f>
        <v>425</v>
      </c>
      <c r="M148" s="72" t="s">
        <v>318</v>
      </c>
      <c r="N148" s="38">
        <f t="shared" ref="N148:N151" si="272">M148+$AE$9</f>
        <v>1171</v>
      </c>
      <c r="O148" s="38">
        <f t="shared" ref="O148:O151" si="273">M148+$AE$10</f>
        <v>1120</v>
      </c>
      <c r="P148" s="38">
        <f t="shared" ref="P148:P151" si="274">M148+$AE$14</f>
        <v>1190</v>
      </c>
      <c r="Q148" s="72" t="s">
        <v>374</v>
      </c>
      <c r="R148" s="38">
        <f t="shared" ref="R148:R151" si="275">Q148+$AF$9</f>
        <v>4061</v>
      </c>
      <c r="S148" s="38">
        <f t="shared" ref="S148:S151" si="276">Q148+$AF$10</f>
        <v>3937</v>
      </c>
      <c r="T148" s="38">
        <f t="shared" ref="T148:T151" si="277">Q148+$AF$14</f>
        <v>4261</v>
      </c>
      <c r="U148" s="3"/>
      <c r="V148" s="72">
        <v>170</v>
      </c>
      <c r="W148" s="72">
        <v>499</v>
      </c>
      <c r="X148" s="72">
        <v>1396</v>
      </c>
      <c r="Y148" s="72">
        <v>4987</v>
      </c>
    </row>
    <row r="149" spans="7:25">
      <c r="G149">
        <v>143</v>
      </c>
      <c r="H149" t="s">
        <v>424</v>
      </c>
      <c r="I149" s="72">
        <v>376</v>
      </c>
      <c r="J149" s="38">
        <f t="shared" si="269"/>
        <v>421</v>
      </c>
      <c r="K149" s="38">
        <f t="shared" si="270"/>
        <v>405</v>
      </c>
      <c r="L149" s="38">
        <f t="shared" si="271"/>
        <v>425</v>
      </c>
      <c r="M149" s="72" t="s">
        <v>318</v>
      </c>
      <c r="N149" s="38">
        <f t="shared" si="272"/>
        <v>1171</v>
      </c>
      <c r="O149" s="38">
        <f t="shared" si="273"/>
        <v>1120</v>
      </c>
      <c r="P149" s="38">
        <f t="shared" si="274"/>
        <v>1190</v>
      </c>
      <c r="Q149" s="72" t="s">
        <v>374</v>
      </c>
      <c r="R149" s="38">
        <f t="shared" si="275"/>
        <v>4061</v>
      </c>
      <c r="S149" s="38">
        <f t="shared" si="276"/>
        <v>3937</v>
      </c>
      <c r="T149" s="38">
        <f t="shared" si="277"/>
        <v>4261</v>
      </c>
      <c r="U149" s="3"/>
      <c r="V149" s="72">
        <v>170</v>
      </c>
      <c r="W149" s="72">
        <v>499</v>
      </c>
      <c r="X149" s="72">
        <v>1396</v>
      </c>
      <c r="Y149" s="72">
        <v>4987</v>
      </c>
    </row>
    <row r="150" spans="7:25">
      <c r="G150">
        <v>144</v>
      </c>
      <c r="H150" t="s">
        <v>424</v>
      </c>
      <c r="I150" s="72">
        <v>376</v>
      </c>
      <c r="J150" s="38">
        <f t="shared" si="269"/>
        <v>421</v>
      </c>
      <c r="K150" s="38">
        <f t="shared" si="270"/>
        <v>405</v>
      </c>
      <c r="L150" s="38">
        <f t="shared" si="271"/>
        <v>425</v>
      </c>
      <c r="M150" s="72" t="s">
        <v>318</v>
      </c>
      <c r="N150" s="38">
        <f t="shared" si="272"/>
        <v>1171</v>
      </c>
      <c r="O150" s="38">
        <f t="shared" si="273"/>
        <v>1120</v>
      </c>
      <c r="P150" s="38">
        <f t="shared" si="274"/>
        <v>1190</v>
      </c>
      <c r="Q150" s="72" t="s">
        <v>374</v>
      </c>
      <c r="R150" s="38">
        <f t="shared" si="275"/>
        <v>4061</v>
      </c>
      <c r="S150" s="38">
        <f t="shared" si="276"/>
        <v>3937</v>
      </c>
      <c r="T150" s="38">
        <f t="shared" si="277"/>
        <v>4261</v>
      </c>
      <c r="U150" s="3"/>
      <c r="V150" s="72">
        <v>170</v>
      </c>
      <c r="W150" s="72">
        <v>499</v>
      </c>
      <c r="X150" s="72">
        <v>1396</v>
      </c>
      <c r="Y150" s="72">
        <v>4987</v>
      </c>
    </row>
    <row r="151" spans="7:25">
      <c r="G151">
        <v>145</v>
      </c>
      <c r="H151" t="s">
        <v>424</v>
      </c>
      <c r="I151" s="72">
        <v>376</v>
      </c>
      <c r="J151" s="38">
        <f t="shared" si="269"/>
        <v>421</v>
      </c>
      <c r="K151" s="38">
        <f t="shared" si="270"/>
        <v>405</v>
      </c>
      <c r="L151" s="38">
        <f t="shared" si="271"/>
        <v>425</v>
      </c>
      <c r="M151" s="72" t="s">
        <v>318</v>
      </c>
      <c r="N151" s="38">
        <f t="shared" si="272"/>
        <v>1171</v>
      </c>
      <c r="O151" s="38">
        <f t="shared" si="273"/>
        <v>1120</v>
      </c>
      <c r="P151" s="38">
        <f t="shared" si="274"/>
        <v>1190</v>
      </c>
      <c r="Q151" s="72" t="s">
        <v>374</v>
      </c>
      <c r="R151" s="38">
        <f t="shared" si="275"/>
        <v>4061</v>
      </c>
      <c r="S151" s="38">
        <f t="shared" si="276"/>
        <v>3937</v>
      </c>
      <c r="T151" s="38">
        <f t="shared" si="277"/>
        <v>4261</v>
      </c>
      <c r="U151" s="3"/>
      <c r="V151" s="72">
        <v>170</v>
      </c>
      <c r="W151" s="72">
        <v>499</v>
      </c>
      <c r="X151" s="72">
        <v>1396</v>
      </c>
      <c r="Y151" s="72">
        <v>4987</v>
      </c>
    </row>
    <row r="152" spans="7:25">
      <c r="G152">
        <v>146</v>
      </c>
      <c r="H152" t="s">
        <v>425</v>
      </c>
      <c r="I152" s="72">
        <v>390</v>
      </c>
      <c r="J152" s="38">
        <f t="shared" si="242"/>
        <v>435</v>
      </c>
      <c r="K152" s="38">
        <f t="shared" si="243"/>
        <v>419</v>
      </c>
      <c r="L152" s="38">
        <f t="shared" si="244"/>
        <v>439</v>
      </c>
      <c r="M152" s="72" t="s">
        <v>319</v>
      </c>
      <c r="N152" s="38">
        <f t="shared" si="245"/>
        <v>1210</v>
      </c>
      <c r="O152" s="38">
        <f t="shared" si="246"/>
        <v>1159</v>
      </c>
      <c r="P152" s="38">
        <f t="shared" si="247"/>
        <v>1229</v>
      </c>
      <c r="Q152" s="72">
        <v>3900</v>
      </c>
      <c r="R152" s="38">
        <f t="shared" si="248"/>
        <v>4199</v>
      </c>
      <c r="S152" s="38">
        <f t="shared" si="249"/>
        <v>4075</v>
      </c>
      <c r="T152" s="38">
        <f t="shared" si="250"/>
        <v>4399</v>
      </c>
      <c r="U152" s="3"/>
      <c r="V152" s="72">
        <v>176</v>
      </c>
      <c r="W152" s="72">
        <v>517</v>
      </c>
      <c r="X152" s="72">
        <v>1447</v>
      </c>
      <c r="Y152" s="72">
        <v>5169</v>
      </c>
    </row>
    <row r="153" spans="7:25">
      <c r="G153">
        <v>147</v>
      </c>
      <c r="H153" t="s">
        <v>425</v>
      </c>
      <c r="I153" s="72">
        <v>390</v>
      </c>
      <c r="J153" s="38">
        <f t="shared" ref="J153:J156" si="278">I153+$AD$9</f>
        <v>435</v>
      </c>
      <c r="K153" s="38">
        <f t="shared" ref="K153:K156" si="279">I153+$AD$10</f>
        <v>419</v>
      </c>
      <c r="L153" s="38">
        <f t="shared" ref="L153:L156" si="280">I153+$AD$14</f>
        <v>439</v>
      </c>
      <c r="M153" s="72" t="s">
        <v>319</v>
      </c>
      <c r="N153" s="38">
        <f t="shared" ref="N153:N156" si="281">M153+$AE$9</f>
        <v>1210</v>
      </c>
      <c r="O153" s="38">
        <f t="shared" ref="O153:O156" si="282">M153+$AE$10</f>
        <v>1159</v>
      </c>
      <c r="P153" s="38">
        <f t="shared" ref="P153:P156" si="283">M153+$AE$14</f>
        <v>1229</v>
      </c>
      <c r="Q153" s="72">
        <v>3900</v>
      </c>
      <c r="R153" s="38">
        <f t="shared" ref="R153:R156" si="284">Q153+$AF$9</f>
        <v>4199</v>
      </c>
      <c r="S153" s="38">
        <f t="shared" ref="S153:S156" si="285">Q153+$AF$10</f>
        <v>4075</v>
      </c>
      <c r="T153" s="38">
        <f t="shared" ref="T153:T156" si="286">Q153+$AF$14</f>
        <v>4399</v>
      </c>
      <c r="U153" s="3"/>
      <c r="V153" s="72">
        <v>176</v>
      </c>
      <c r="W153" s="72">
        <v>517</v>
      </c>
      <c r="X153" s="72">
        <v>1447</v>
      </c>
      <c r="Y153" s="72">
        <v>5169</v>
      </c>
    </row>
    <row r="154" spans="7:25">
      <c r="G154">
        <v>148</v>
      </c>
      <c r="H154" t="s">
        <v>425</v>
      </c>
      <c r="I154" s="72">
        <v>390</v>
      </c>
      <c r="J154" s="38">
        <f t="shared" si="278"/>
        <v>435</v>
      </c>
      <c r="K154" s="38">
        <f t="shared" si="279"/>
        <v>419</v>
      </c>
      <c r="L154" s="38">
        <f t="shared" si="280"/>
        <v>439</v>
      </c>
      <c r="M154" s="72" t="s">
        <v>319</v>
      </c>
      <c r="N154" s="38">
        <f t="shared" si="281"/>
        <v>1210</v>
      </c>
      <c r="O154" s="38">
        <f t="shared" si="282"/>
        <v>1159</v>
      </c>
      <c r="P154" s="38">
        <f t="shared" si="283"/>
        <v>1229</v>
      </c>
      <c r="Q154" s="72">
        <v>3900</v>
      </c>
      <c r="R154" s="38">
        <f t="shared" si="284"/>
        <v>4199</v>
      </c>
      <c r="S154" s="38">
        <f t="shared" si="285"/>
        <v>4075</v>
      </c>
      <c r="T154" s="38">
        <f t="shared" si="286"/>
        <v>4399</v>
      </c>
      <c r="U154" s="3"/>
      <c r="V154" s="72">
        <v>176</v>
      </c>
      <c r="W154" s="72">
        <v>517</v>
      </c>
      <c r="X154" s="72">
        <v>1447</v>
      </c>
      <c r="Y154" s="72">
        <v>5169</v>
      </c>
    </row>
    <row r="155" spans="7:25">
      <c r="G155">
        <v>149</v>
      </c>
      <c r="H155" t="s">
        <v>425</v>
      </c>
      <c r="I155" s="72">
        <v>390</v>
      </c>
      <c r="J155" s="38">
        <f t="shared" si="278"/>
        <v>435</v>
      </c>
      <c r="K155" s="38">
        <f t="shared" si="279"/>
        <v>419</v>
      </c>
      <c r="L155" s="38">
        <f t="shared" si="280"/>
        <v>439</v>
      </c>
      <c r="M155" s="72" t="s">
        <v>319</v>
      </c>
      <c r="N155" s="38">
        <f t="shared" si="281"/>
        <v>1210</v>
      </c>
      <c r="O155" s="38">
        <f t="shared" si="282"/>
        <v>1159</v>
      </c>
      <c r="P155" s="38">
        <f t="shared" si="283"/>
        <v>1229</v>
      </c>
      <c r="Q155" s="72">
        <v>3900</v>
      </c>
      <c r="R155" s="38">
        <f t="shared" si="284"/>
        <v>4199</v>
      </c>
      <c r="S155" s="38">
        <f t="shared" si="285"/>
        <v>4075</v>
      </c>
      <c r="T155" s="38">
        <f t="shared" si="286"/>
        <v>4399</v>
      </c>
      <c r="U155" s="3"/>
      <c r="V155" s="72">
        <v>176</v>
      </c>
      <c r="W155" s="72">
        <v>517</v>
      </c>
      <c r="X155" s="72">
        <v>1447</v>
      </c>
      <c r="Y155" s="72">
        <v>5169</v>
      </c>
    </row>
    <row r="156" spans="7:25">
      <c r="G156">
        <v>150</v>
      </c>
      <c r="H156" t="s">
        <v>425</v>
      </c>
      <c r="I156" s="72">
        <v>390</v>
      </c>
      <c r="J156" s="38">
        <f t="shared" si="278"/>
        <v>435</v>
      </c>
      <c r="K156" s="38">
        <f t="shared" si="279"/>
        <v>419</v>
      </c>
      <c r="L156" s="38">
        <f t="shared" si="280"/>
        <v>439</v>
      </c>
      <c r="M156" s="72" t="s">
        <v>319</v>
      </c>
      <c r="N156" s="38">
        <f t="shared" si="281"/>
        <v>1210</v>
      </c>
      <c r="O156" s="38">
        <f t="shared" si="282"/>
        <v>1159</v>
      </c>
      <c r="P156" s="38">
        <f t="shared" si="283"/>
        <v>1229</v>
      </c>
      <c r="Q156" s="72">
        <v>3900</v>
      </c>
      <c r="R156" s="38">
        <f t="shared" si="284"/>
        <v>4199</v>
      </c>
      <c r="S156" s="38">
        <f t="shared" si="285"/>
        <v>4075</v>
      </c>
      <c r="T156" s="38">
        <f t="shared" si="286"/>
        <v>4399</v>
      </c>
      <c r="U156" s="3"/>
      <c r="V156" s="72">
        <v>176</v>
      </c>
      <c r="W156" s="72">
        <v>517</v>
      </c>
      <c r="X156" s="72">
        <v>1447</v>
      </c>
      <c r="Y156" s="72">
        <v>5169</v>
      </c>
    </row>
  </sheetData>
  <mergeCells count="3">
    <mergeCell ref="G1:Y1"/>
    <mergeCell ref="V5:Y5"/>
    <mergeCell ref="H5:T5"/>
  </mergeCells>
  <phoneticPr fontId="2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311CF-EC95-42D1-9CB7-FD128BEBFC31}">
  <sheetPr codeName="Blad6"/>
  <dimension ref="A1:N154"/>
  <sheetViews>
    <sheetView workbookViewId="0">
      <pane ySplit="4" topLeftCell="A5" activePane="bottomLeft" state="frozen"/>
      <selection activeCell="P10" sqref="P10:Q10"/>
      <selection pane="bottomLeft" activeCell="P10" sqref="P10:Q10"/>
    </sheetView>
  </sheetViews>
  <sheetFormatPr defaultRowHeight="15"/>
  <cols>
    <col min="1" max="1" width="11.5703125" style="56" customWidth="1"/>
    <col min="2" max="2" width="2.28515625" style="49" customWidth="1"/>
    <col min="3" max="3" width="12.7109375" style="49" customWidth="1"/>
    <col min="4" max="4" width="14" style="49" customWidth="1"/>
    <col min="5" max="5" width="12.7109375" style="49" customWidth="1"/>
    <col min="6" max="6" width="12.28515625" style="49" customWidth="1"/>
    <col min="7" max="7" width="14" style="49" customWidth="1"/>
    <col min="8" max="8" width="12.7109375" style="49" customWidth="1"/>
    <col min="9" max="9" width="14" style="49" customWidth="1"/>
    <col min="10" max="10" width="11.7109375" style="49" customWidth="1"/>
    <col min="13" max="13" width="61.42578125" bestFit="1" customWidth="1"/>
  </cols>
  <sheetData>
    <row r="1" spans="1:14">
      <c r="A1" s="267">
        <v>45323</v>
      </c>
      <c r="B1" s="60"/>
      <c r="C1" s="337" t="s">
        <v>122</v>
      </c>
      <c r="D1" s="338"/>
      <c r="E1" s="338"/>
      <c r="F1" s="339"/>
      <c r="G1" s="337" t="s">
        <v>123</v>
      </c>
      <c r="H1" s="338"/>
      <c r="I1" s="338"/>
      <c r="J1" s="339"/>
    </row>
    <row r="2" spans="1:14">
      <c r="A2" s="58"/>
      <c r="B2" s="60"/>
      <c r="C2" s="257"/>
      <c r="D2" s="258"/>
      <c r="E2" s="258"/>
      <c r="F2" s="260"/>
      <c r="G2" s="260"/>
      <c r="H2" s="260"/>
      <c r="I2" s="260"/>
      <c r="J2" s="260"/>
    </row>
    <row r="3" spans="1:14" ht="31.5" customHeight="1">
      <c r="A3" s="58"/>
      <c r="B3" s="60"/>
      <c r="C3" s="261" t="s">
        <v>124</v>
      </c>
      <c r="D3" s="262" t="s">
        <v>125</v>
      </c>
      <c r="E3" s="261" t="s">
        <v>126</v>
      </c>
      <c r="F3" s="261" t="s">
        <v>127</v>
      </c>
      <c r="G3" s="261" t="s">
        <v>124</v>
      </c>
      <c r="H3" s="262" t="s">
        <v>125</v>
      </c>
      <c r="I3" s="261" t="s">
        <v>126</v>
      </c>
      <c r="J3" s="261" t="s">
        <v>127</v>
      </c>
    </row>
    <row r="4" spans="1:14">
      <c r="A4" s="59" t="s">
        <v>128</v>
      </c>
      <c r="B4" s="60"/>
      <c r="C4" s="50"/>
      <c r="D4" s="51"/>
      <c r="E4" s="50"/>
      <c r="F4" s="51"/>
      <c r="G4" s="50"/>
      <c r="H4" s="51"/>
      <c r="I4" s="50"/>
    </row>
    <row r="5" spans="1:14">
      <c r="A5" s="52">
        <v>1</v>
      </c>
      <c r="B5" s="340"/>
      <c r="C5" s="97">
        <v>22</v>
      </c>
      <c r="D5" s="97">
        <v>32</v>
      </c>
      <c r="E5" s="97">
        <v>279</v>
      </c>
      <c r="F5" s="97">
        <v>369</v>
      </c>
      <c r="G5" s="97">
        <v>34</v>
      </c>
      <c r="H5" s="97">
        <v>49</v>
      </c>
      <c r="I5" s="97">
        <v>430</v>
      </c>
      <c r="J5" s="97">
        <v>568</v>
      </c>
      <c r="K5" s="72"/>
      <c r="L5" s="72"/>
      <c r="M5" s="72"/>
      <c r="N5" s="72"/>
    </row>
    <row r="6" spans="1:14">
      <c r="A6" s="54">
        <v>2</v>
      </c>
      <c r="B6" s="340"/>
      <c r="C6" s="97">
        <v>22</v>
      </c>
      <c r="D6" s="97">
        <v>32</v>
      </c>
      <c r="E6" s="97">
        <v>279</v>
      </c>
      <c r="F6" s="97">
        <v>369</v>
      </c>
      <c r="G6" s="97">
        <v>34</v>
      </c>
      <c r="H6" s="97">
        <v>49</v>
      </c>
      <c r="I6" s="97">
        <v>430</v>
      </c>
      <c r="J6" s="97">
        <v>568</v>
      </c>
      <c r="K6" s="72"/>
      <c r="L6" s="72"/>
      <c r="M6" s="72"/>
      <c r="N6" s="72"/>
    </row>
    <row r="7" spans="1:14">
      <c r="A7" s="54">
        <v>3</v>
      </c>
      <c r="B7" s="340"/>
      <c r="C7" s="97">
        <v>22</v>
      </c>
      <c r="D7" s="97">
        <v>32</v>
      </c>
      <c r="E7" s="97">
        <v>279</v>
      </c>
      <c r="F7" s="97">
        <v>369</v>
      </c>
      <c r="G7" s="97">
        <v>34</v>
      </c>
      <c r="H7" s="97">
        <v>49</v>
      </c>
      <c r="I7" s="97">
        <v>430</v>
      </c>
      <c r="J7" s="97">
        <v>568</v>
      </c>
      <c r="K7" s="72"/>
      <c r="L7" s="72"/>
      <c r="M7" s="72"/>
      <c r="N7" s="72"/>
    </row>
    <row r="8" spans="1:14">
      <c r="A8" s="53">
        <v>4</v>
      </c>
      <c r="B8" s="340"/>
      <c r="C8" s="97">
        <v>24</v>
      </c>
      <c r="D8" s="97">
        <v>35</v>
      </c>
      <c r="E8" s="97">
        <v>304</v>
      </c>
      <c r="F8" s="97">
        <v>401</v>
      </c>
      <c r="G8" s="97">
        <v>37</v>
      </c>
      <c r="H8" s="97">
        <v>54</v>
      </c>
      <c r="I8" s="97">
        <v>467</v>
      </c>
      <c r="J8" s="97">
        <v>618</v>
      </c>
      <c r="K8" s="72"/>
      <c r="L8" s="72"/>
      <c r="M8" s="72"/>
      <c r="N8" s="72"/>
    </row>
    <row r="9" spans="1:14">
      <c r="A9" s="53">
        <v>5</v>
      </c>
      <c r="B9" s="340"/>
      <c r="C9" s="97">
        <v>26</v>
      </c>
      <c r="D9" s="97">
        <v>37.5</v>
      </c>
      <c r="E9" s="97">
        <v>328</v>
      </c>
      <c r="F9" s="97">
        <v>434</v>
      </c>
      <c r="G9" s="97">
        <v>40</v>
      </c>
      <c r="H9" s="97">
        <v>58</v>
      </c>
      <c r="I9" s="97">
        <v>505</v>
      </c>
      <c r="J9" s="97">
        <v>668</v>
      </c>
      <c r="K9" s="72"/>
      <c r="L9" s="72"/>
      <c r="M9" s="72"/>
      <c r="N9" s="72"/>
    </row>
    <row r="10" spans="1:14">
      <c r="A10" s="53">
        <v>6</v>
      </c>
      <c r="B10" s="340"/>
      <c r="C10" s="97">
        <v>27.5</v>
      </c>
      <c r="D10" s="97">
        <v>40</v>
      </c>
      <c r="E10" s="97">
        <v>349</v>
      </c>
      <c r="F10" s="97">
        <v>462</v>
      </c>
      <c r="G10" s="97">
        <v>42.5</v>
      </c>
      <c r="H10" s="97">
        <v>62</v>
      </c>
      <c r="I10" s="97">
        <v>538</v>
      </c>
      <c r="J10" s="97">
        <v>711.07</v>
      </c>
      <c r="K10" s="72"/>
      <c r="L10" s="72"/>
      <c r="M10" s="72"/>
      <c r="N10" s="72"/>
    </row>
    <row r="11" spans="1:14">
      <c r="A11" s="53">
        <v>7</v>
      </c>
      <c r="B11" s="340"/>
      <c r="C11" s="97">
        <v>29.5</v>
      </c>
      <c r="D11" s="97">
        <v>42.5</v>
      </c>
      <c r="E11" s="97">
        <v>370</v>
      </c>
      <c r="F11" s="97">
        <v>490</v>
      </c>
      <c r="G11" s="97"/>
      <c r="H11" s="97"/>
      <c r="I11" s="97"/>
      <c r="J11" s="97"/>
      <c r="K11" s="72"/>
      <c r="L11" s="72"/>
      <c r="M11" s="72"/>
      <c r="N11" s="72"/>
    </row>
    <row r="12" spans="1:14">
      <c r="A12" s="53">
        <v>8</v>
      </c>
      <c r="B12" s="340"/>
      <c r="C12" s="97">
        <v>31</v>
      </c>
      <c r="D12" s="97">
        <v>45</v>
      </c>
      <c r="E12" s="97">
        <v>391</v>
      </c>
      <c r="F12" s="97">
        <v>517</v>
      </c>
      <c r="G12" s="97"/>
      <c r="H12" s="97"/>
      <c r="I12" s="97"/>
      <c r="J12" s="97"/>
      <c r="K12" s="72"/>
      <c r="L12" s="72"/>
      <c r="M12" s="72"/>
      <c r="N12" s="72"/>
    </row>
    <row r="13" spans="1:14">
      <c r="A13" s="53">
        <v>9</v>
      </c>
      <c r="B13" s="340"/>
      <c r="C13" s="97">
        <v>32.5</v>
      </c>
      <c r="D13" s="97">
        <v>47</v>
      </c>
      <c r="E13" s="97">
        <v>412</v>
      </c>
      <c r="F13" s="97">
        <v>545</v>
      </c>
      <c r="G13" s="97"/>
      <c r="H13" s="97"/>
      <c r="I13" s="97"/>
      <c r="J13" s="97"/>
      <c r="K13" s="72"/>
      <c r="L13" s="72"/>
      <c r="M13" s="72"/>
      <c r="N13" s="72"/>
    </row>
    <row r="14" spans="1:14">
      <c r="A14" s="53">
        <v>10</v>
      </c>
      <c r="B14" s="340"/>
      <c r="C14" s="97">
        <v>34</v>
      </c>
      <c r="D14" s="97">
        <v>49.5</v>
      </c>
      <c r="E14" s="97">
        <v>433</v>
      </c>
      <c r="F14" s="97">
        <v>573</v>
      </c>
      <c r="G14" s="97"/>
      <c r="H14" s="97"/>
      <c r="I14" s="97"/>
      <c r="J14" s="97"/>
      <c r="K14" s="72"/>
      <c r="L14" s="72"/>
      <c r="M14" s="72"/>
      <c r="N14" s="72"/>
    </row>
    <row r="15" spans="1:14">
      <c r="A15" s="53">
        <v>11</v>
      </c>
      <c r="B15" s="340"/>
      <c r="C15" s="97">
        <v>36</v>
      </c>
      <c r="D15" s="97">
        <v>52</v>
      </c>
      <c r="E15" s="97">
        <v>454</v>
      </c>
      <c r="F15" s="97">
        <v>601</v>
      </c>
      <c r="G15" s="97"/>
      <c r="H15" s="97"/>
      <c r="I15" s="97"/>
      <c r="J15" s="97"/>
    </row>
    <row r="16" spans="1:14">
      <c r="A16" s="53">
        <v>12</v>
      </c>
      <c r="B16" s="340"/>
      <c r="C16" s="97">
        <v>37.5</v>
      </c>
      <c r="D16" s="97">
        <v>54</v>
      </c>
      <c r="E16" s="97">
        <v>475</v>
      </c>
      <c r="F16" s="97">
        <v>628</v>
      </c>
      <c r="G16" s="97"/>
      <c r="H16" s="97"/>
      <c r="I16" s="97"/>
      <c r="J16" s="97"/>
    </row>
    <row r="17" spans="1:10">
      <c r="A17" s="53">
        <v>13</v>
      </c>
      <c r="B17" s="340"/>
      <c r="C17" s="97">
        <v>39</v>
      </c>
      <c r="D17" s="97">
        <v>57</v>
      </c>
      <c r="E17" s="97">
        <v>496</v>
      </c>
      <c r="F17" s="97">
        <v>656</v>
      </c>
      <c r="G17" s="97"/>
      <c r="H17" s="97"/>
      <c r="I17" s="97"/>
      <c r="J17" s="97"/>
    </row>
    <row r="18" spans="1:10">
      <c r="A18" s="53">
        <v>14</v>
      </c>
      <c r="B18" s="340"/>
      <c r="C18" s="97">
        <v>41</v>
      </c>
      <c r="D18" s="97">
        <v>59</v>
      </c>
      <c r="E18" s="97">
        <v>517</v>
      </c>
      <c r="F18" s="97">
        <v>684</v>
      </c>
      <c r="G18" s="97"/>
      <c r="H18" s="97"/>
      <c r="I18" s="97"/>
      <c r="J18" s="97"/>
    </row>
    <row r="19" spans="1:10">
      <c r="A19" s="53">
        <v>15</v>
      </c>
      <c r="B19" s="340"/>
      <c r="C19" s="97">
        <v>42.5</v>
      </c>
      <c r="D19" s="97">
        <v>62</v>
      </c>
      <c r="E19" s="97">
        <v>538</v>
      </c>
      <c r="F19" s="97">
        <v>712</v>
      </c>
      <c r="G19" s="97"/>
      <c r="H19" s="97"/>
      <c r="I19" s="97"/>
      <c r="J19" s="97"/>
    </row>
    <row r="20" spans="1:10">
      <c r="A20" s="53">
        <v>16</v>
      </c>
      <c r="B20" s="340"/>
      <c r="C20" s="97">
        <v>44</v>
      </c>
      <c r="D20" s="97">
        <v>64</v>
      </c>
      <c r="E20" s="97">
        <v>559</v>
      </c>
      <c r="F20" s="97">
        <v>739</v>
      </c>
      <c r="G20" s="97"/>
      <c r="H20" s="97"/>
      <c r="I20" s="97"/>
      <c r="J20" s="97"/>
    </row>
    <row r="21" spans="1:10">
      <c r="A21" s="53">
        <v>17</v>
      </c>
      <c r="B21" s="340"/>
      <c r="C21" s="97">
        <v>46</v>
      </c>
      <c r="D21" s="97">
        <v>66</v>
      </c>
      <c r="E21" s="97">
        <v>580</v>
      </c>
      <c r="F21" s="97">
        <v>767</v>
      </c>
      <c r="G21" s="97"/>
      <c r="H21" s="97"/>
      <c r="I21" s="97"/>
      <c r="J21" s="97"/>
    </row>
    <row r="22" spans="1:10">
      <c r="A22" s="53">
        <v>18</v>
      </c>
      <c r="B22" s="340"/>
      <c r="C22" s="97">
        <v>47.5</v>
      </c>
      <c r="D22" s="97">
        <v>69</v>
      </c>
      <c r="E22" s="97">
        <v>601</v>
      </c>
      <c r="F22" s="97">
        <v>795</v>
      </c>
      <c r="G22" s="97"/>
      <c r="H22" s="97"/>
      <c r="I22" s="97"/>
      <c r="J22" s="97"/>
    </row>
    <row r="23" spans="1:10">
      <c r="A23" s="53">
        <v>19</v>
      </c>
      <c r="B23" s="340"/>
      <c r="C23" s="97">
        <v>49</v>
      </c>
      <c r="D23" s="97">
        <v>71</v>
      </c>
      <c r="E23" s="97">
        <v>622</v>
      </c>
      <c r="F23" s="97">
        <v>823</v>
      </c>
      <c r="G23" s="97"/>
      <c r="H23" s="97"/>
      <c r="I23" s="97"/>
      <c r="J23" s="97"/>
    </row>
    <row r="24" spans="1:10">
      <c r="A24" s="53">
        <v>20</v>
      </c>
      <c r="B24" s="340"/>
      <c r="C24" s="97">
        <v>51</v>
      </c>
      <c r="D24" s="97">
        <v>74</v>
      </c>
      <c r="E24" s="97">
        <v>643</v>
      </c>
      <c r="F24" s="97">
        <v>850</v>
      </c>
      <c r="G24" s="97"/>
      <c r="H24" s="97"/>
      <c r="I24" s="97"/>
      <c r="J24" s="97"/>
    </row>
    <row r="25" spans="1:10">
      <c r="A25" s="53">
        <v>21</v>
      </c>
      <c r="B25" s="340"/>
      <c r="C25" s="97">
        <v>52</v>
      </c>
      <c r="D25" s="97">
        <v>76</v>
      </c>
      <c r="E25" s="97">
        <v>664</v>
      </c>
      <c r="F25" s="97">
        <v>878</v>
      </c>
      <c r="G25" s="97"/>
      <c r="H25" s="97"/>
      <c r="I25" s="97"/>
      <c r="J25" s="97"/>
    </row>
    <row r="26" spans="1:10">
      <c r="A26" s="53">
        <v>22</v>
      </c>
      <c r="B26" s="340"/>
      <c r="C26" s="97">
        <v>54</v>
      </c>
      <c r="D26" s="97">
        <v>78</v>
      </c>
      <c r="E26" s="97">
        <v>685</v>
      </c>
      <c r="F26" s="97">
        <v>906</v>
      </c>
      <c r="G26" s="97"/>
      <c r="H26" s="97"/>
      <c r="I26" s="97"/>
      <c r="J26" s="97"/>
    </row>
    <row r="27" spans="1:10">
      <c r="A27" s="53">
        <v>23</v>
      </c>
      <c r="B27" s="340"/>
      <c r="C27" s="97">
        <v>56</v>
      </c>
      <c r="D27" s="97">
        <v>81</v>
      </c>
      <c r="E27" s="97">
        <v>706</v>
      </c>
      <c r="F27" s="97">
        <v>933</v>
      </c>
      <c r="G27" s="97"/>
      <c r="H27" s="97"/>
      <c r="I27" s="97"/>
      <c r="J27" s="97"/>
    </row>
    <row r="28" spans="1:10">
      <c r="A28" s="53">
        <v>24</v>
      </c>
      <c r="B28" s="340"/>
      <c r="C28" s="97">
        <v>57</v>
      </c>
      <c r="D28" s="97">
        <v>83</v>
      </c>
      <c r="E28" s="97">
        <v>727</v>
      </c>
      <c r="F28" s="97">
        <v>961</v>
      </c>
      <c r="G28" s="97"/>
      <c r="H28" s="97"/>
      <c r="I28" s="97"/>
      <c r="J28" s="97"/>
    </row>
    <row r="29" spans="1:10">
      <c r="A29" s="53">
        <v>25</v>
      </c>
      <c r="B29" s="340"/>
      <c r="C29" s="97">
        <v>59</v>
      </c>
      <c r="D29" s="97">
        <v>86</v>
      </c>
      <c r="E29" s="97">
        <v>748</v>
      </c>
      <c r="F29" s="97">
        <v>989</v>
      </c>
      <c r="G29" s="97"/>
      <c r="H29" s="97"/>
      <c r="I29" s="97"/>
      <c r="J29" s="97"/>
    </row>
    <row r="30" spans="1:10">
      <c r="A30" s="53">
        <v>26</v>
      </c>
      <c r="B30" s="340"/>
      <c r="C30" s="97">
        <v>61</v>
      </c>
      <c r="D30" s="97">
        <v>88</v>
      </c>
      <c r="E30" s="97">
        <v>769</v>
      </c>
      <c r="F30" s="97">
        <v>1017</v>
      </c>
      <c r="G30" s="97"/>
      <c r="H30" s="97"/>
      <c r="I30" s="97"/>
      <c r="J30" s="97"/>
    </row>
    <row r="31" spans="1:10">
      <c r="A31" s="53">
        <v>27</v>
      </c>
      <c r="B31" s="340"/>
      <c r="C31" s="97">
        <v>62</v>
      </c>
      <c r="D31" s="97">
        <v>90</v>
      </c>
      <c r="E31" s="97">
        <v>790</v>
      </c>
      <c r="F31" s="97">
        <v>1044</v>
      </c>
      <c r="G31" s="97"/>
      <c r="H31" s="97"/>
      <c r="I31" s="97"/>
      <c r="J31" s="97"/>
    </row>
    <row r="32" spans="1:10">
      <c r="A32" s="53">
        <v>28</v>
      </c>
      <c r="B32" s="340"/>
      <c r="C32" s="97">
        <v>64</v>
      </c>
      <c r="D32" s="97">
        <v>93</v>
      </c>
      <c r="E32" s="97">
        <v>811</v>
      </c>
      <c r="F32" s="97">
        <v>1072</v>
      </c>
      <c r="G32" s="97"/>
      <c r="H32" s="97"/>
      <c r="I32" s="97"/>
      <c r="J32" s="97"/>
    </row>
    <row r="33" spans="1:10">
      <c r="A33" s="53">
        <v>29</v>
      </c>
      <c r="B33" s="340"/>
      <c r="C33" s="97">
        <v>66</v>
      </c>
      <c r="D33" s="97">
        <v>95</v>
      </c>
      <c r="E33" s="97">
        <v>832</v>
      </c>
      <c r="F33" s="97">
        <v>1100</v>
      </c>
      <c r="G33" s="97"/>
      <c r="H33" s="97"/>
      <c r="I33" s="97"/>
      <c r="J33" s="97"/>
    </row>
    <row r="34" spans="1:10">
      <c r="A34" s="53">
        <v>30</v>
      </c>
      <c r="B34" s="340"/>
      <c r="C34" s="97">
        <v>67</v>
      </c>
      <c r="D34" s="97">
        <v>98</v>
      </c>
      <c r="E34" s="97">
        <v>853</v>
      </c>
      <c r="F34" s="97">
        <v>1128</v>
      </c>
      <c r="G34" s="97"/>
      <c r="H34" s="97"/>
      <c r="I34" s="97"/>
      <c r="J34" s="97"/>
    </row>
    <row r="35" spans="1:10">
      <c r="A35" s="54">
        <v>31</v>
      </c>
      <c r="B35" s="340"/>
      <c r="C35" s="97">
        <v>70</v>
      </c>
      <c r="D35" s="97">
        <v>102</v>
      </c>
      <c r="E35" s="97">
        <v>887</v>
      </c>
      <c r="F35" s="97">
        <v>1173</v>
      </c>
      <c r="G35" s="97"/>
      <c r="H35" s="97"/>
      <c r="I35" s="97"/>
      <c r="J35" s="97"/>
    </row>
    <row r="36" spans="1:10">
      <c r="A36" s="54">
        <v>32</v>
      </c>
      <c r="B36" s="340"/>
      <c r="C36" s="97">
        <v>70</v>
      </c>
      <c r="D36" s="97">
        <v>102</v>
      </c>
      <c r="E36" s="97">
        <v>887</v>
      </c>
      <c r="F36" s="97">
        <v>1173</v>
      </c>
      <c r="G36" s="97"/>
      <c r="H36" s="97"/>
      <c r="I36" s="97"/>
      <c r="J36" s="97"/>
    </row>
    <row r="37" spans="1:10">
      <c r="A37" s="54">
        <v>33</v>
      </c>
      <c r="B37" s="340"/>
      <c r="C37" s="97">
        <v>70</v>
      </c>
      <c r="D37" s="97">
        <v>102</v>
      </c>
      <c r="E37" s="97">
        <v>887</v>
      </c>
      <c r="F37" s="97">
        <v>1173</v>
      </c>
      <c r="G37" s="97"/>
      <c r="H37" s="97"/>
      <c r="I37" s="97"/>
      <c r="J37" s="97"/>
    </row>
    <row r="38" spans="1:10">
      <c r="A38" s="54">
        <v>34</v>
      </c>
      <c r="B38" s="340"/>
      <c r="C38" s="97">
        <v>74</v>
      </c>
      <c r="D38" s="97">
        <v>107</v>
      </c>
      <c r="E38" s="97">
        <v>938</v>
      </c>
      <c r="F38" s="97">
        <v>1241</v>
      </c>
      <c r="G38" s="97"/>
      <c r="H38" s="97"/>
      <c r="I38" s="97"/>
      <c r="J38" s="97"/>
    </row>
    <row r="39" spans="1:10">
      <c r="A39" s="54">
        <v>35</v>
      </c>
      <c r="B39" s="340"/>
      <c r="C39" s="97">
        <v>74</v>
      </c>
      <c r="D39" s="97">
        <v>107</v>
      </c>
      <c r="E39" s="97">
        <v>938</v>
      </c>
      <c r="F39" s="97">
        <v>1241</v>
      </c>
      <c r="G39" s="97"/>
      <c r="H39" s="97"/>
      <c r="I39" s="97"/>
      <c r="J39" s="97"/>
    </row>
    <row r="40" spans="1:10">
      <c r="A40" s="54">
        <v>36</v>
      </c>
      <c r="B40" s="340"/>
      <c r="C40" s="97">
        <v>74</v>
      </c>
      <c r="D40" s="97">
        <v>107</v>
      </c>
      <c r="E40" s="97">
        <v>938</v>
      </c>
      <c r="F40" s="97">
        <v>1241</v>
      </c>
      <c r="G40" s="97"/>
      <c r="H40" s="97"/>
      <c r="I40" s="97"/>
      <c r="J40" s="97"/>
    </row>
    <row r="41" spans="1:10">
      <c r="A41" s="54">
        <v>37</v>
      </c>
      <c r="B41" s="340"/>
      <c r="C41" s="97">
        <v>78</v>
      </c>
      <c r="D41" s="97">
        <v>113</v>
      </c>
      <c r="E41" s="97">
        <v>990</v>
      </c>
      <c r="F41" s="97">
        <v>1309</v>
      </c>
      <c r="G41" s="97"/>
      <c r="H41" s="97"/>
      <c r="I41" s="97"/>
      <c r="J41" s="97"/>
    </row>
    <row r="42" spans="1:10">
      <c r="A42" s="54">
        <v>38</v>
      </c>
      <c r="B42" s="340"/>
      <c r="C42" s="97">
        <v>78</v>
      </c>
      <c r="D42" s="97">
        <v>113</v>
      </c>
      <c r="E42" s="97">
        <v>990</v>
      </c>
      <c r="F42" s="97">
        <v>1309</v>
      </c>
      <c r="G42" s="97"/>
      <c r="H42" s="97"/>
      <c r="I42" s="97"/>
      <c r="J42" s="97"/>
    </row>
    <row r="43" spans="1:10">
      <c r="A43" s="54">
        <v>39</v>
      </c>
      <c r="B43" s="340"/>
      <c r="C43" s="97">
        <v>78</v>
      </c>
      <c r="D43" s="97">
        <v>113</v>
      </c>
      <c r="E43" s="97">
        <v>990</v>
      </c>
      <c r="F43" s="97">
        <v>1309</v>
      </c>
      <c r="G43" s="97"/>
      <c r="H43" s="97"/>
      <c r="I43" s="97"/>
      <c r="J43" s="97"/>
    </row>
    <row r="44" spans="1:10">
      <c r="A44" s="54">
        <v>40</v>
      </c>
      <c r="B44" s="340"/>
      <c r="C44" s="97">
        <v>82</v>
      </c>
      <c r="D44" s="97">
        <v>119</v>
      </c>
      <c r="E44" s="97">
        <v>1041</v>
      </c>
      <c r="F44" s="97">
        <v>1377</v>
      </c>
      <c r="G44" s="97"/>
      <c r="H44" s="97"/>
      <c r="I44" s="97"/>
      <c r="J44" s="97"/>
    </row>
    <row r="45" spans="1:10">
      <c r="A45" s="54">
        <v>41</v>
      </c>
      <c r="B45" s="340"/>
      <c r="C45" s="97">
        <v>82</v>
      </c>
      <c r="D45" s="97">
        <v>119</v>
      </c>
      <c r="E45" s="97">
        <v>1041</v>
      </c>
      <c r="F45" s="97">
        <v>1377</v>
      </c>
      <c r="G45" s="97"/>
      <c r="H45" s="97"/>
      <c r="I45" s="97"/>
      <c r="J45" s="97"/>
    </row>
    <row r="46" spans="1:10">
      <c r="A46" s="54">
        <v>42</v>
      </c>
      <c r="B46" s="340"/>
      <c r="C46" s="97">
        <v>82</v>
      </c>
      <c r="D46" s="97">
        <v>119</v>
      </c>
      <c r="E46" s="97">
        <v>1041</v>
      </c>
      <c r="F46" s="97">
        <v>1377</v>
      </c>
      <c r="G46" s="97"/>
      <c r="H46" s="97"/>
      <c r="I46" s="97"/>
      <c r="J46" s="97"/>
    </row>
    <row r="47" spans="1:10">
      <c r="A47" s="54">
        <v>43</v>
      </c>
      <c r="B47" s="340"/>
      <c r="C47" s="97">
        <v>86</v>
      </c>
      <c r="D47" s="97">
        <v>125</v>
      </c>
      <c r="E47" s="97">
        <v>1093</v>
      </c>
      <c r="F47" s="97">
        <v>1446</v>
      </c>
      <c r="G47" s="97"/>
      <c r="H47" s="97"/>
      <c r="I47" s="97"/>
      <c r="J47" s="97"/>
    </row>
    <row r="48" spans="1:10">
      <c r="A48" s="54">
        <v>44</v>
      </c>
      <c r="B48" s="340"/>
      <c r="C48" s="97">
        <v>86</v>
      </c>
      <c r="D48" s="97">
        <v>125</v>
      </c>
      <c r="E48" s="97">
        <v>1093</v>
      </c>
      <c r="F48" s="97">
        <v>1446</v>
      </c>
      <c r="G48" s="97"/>
      <c r="H48" s="97"/>
      <c r="I48" s="97"/>
      <c r="J48" s="97"/>
    </row>
    <row r="49" spans="1:10">
      <c r="A49" s="54">
        <v>45</v>
      </c>
      <c r="B49" s="340"/>
      <c r="C49" s="97">
        <v>86</v>
      </c>
      <c r="D49" s="97">
        <v>125</v>
      </c>
      <c r="E49" s="97">
        <v>1093</v>
      </c>
      <c r="F49" s="97">
        <v>1446</v>
      </c>
      <c r="G49" s="97"/>
      <c r="H49" s="97"/>
      <c r="I49" s="97"/>
      <c r="J49" s="97"/>
    </row>
    <row r="50" spans="1:10">
      <c r="A50" s="54">
        <v>46</v>
      </c>
      <c r="B50" s="340"/>
      <c r="C50" s="97">
        <v>90</v>
      </c>
      <c r="D50" s="97">
        <v>131</v>
      </c>
      <c r="E50" s="97">
        <v>1144</v>
      </c>
      <c r="F50" s="97">
        <v>1514</v>
      </c>
      <c r="G50" s="97"/>
      <c r="H50" s="97"/>
      <c r="I50" s="97"/>
      <c r="J50" s="97"/>
    </row>
    <row r="51" spans="1:10">
      <c r="A51" s="54">
        <v>47</v>
      </c>
      <c r="B51" s="340"/>
      <c r="C51" s="97">
        <v>90</v>
      </c>
      <c r="D51" s="97">
        <v>131</v>
      </c>
      <c r="E51" s="97">
        <v>1144</v>
      </c>
      <c r="F51" s="97">
        <v>1514</v>
      </c>
      <c r="G51" s="97"/>
      <c r="H51" s="97"/>
      <c r="I51" s="97"/>
      <c r="J51" s="97"/>
    </row>
    <row r="52" spans="1:10">
      <c r="A52" s="54">
        <v>48</v>
      </c>
      <c r="B52" s="340"/>
      <c r="C52" s="97">
        <v>90</v>
      </c>
      <c r="D52" s="97">
        <v>131</v>
      </c>
      <c r="E52" s="97">
        <v>1144</v>
      </c>
      <c r="F52" s="97">
        <v>1514</v>
      </c>
      <c r="G52" s="97"/>
      <c r="H52" s="97"/>
      <c r="I52" s="97"/>
      <c r="J52" s="97"/>
    </row>
    <row r="53" spans="1:10">
      <c r="A53" s="54">
        <v>49</v>
      </c>
      <c r="B53" s="340"/>
      <c r="C53" s="97">
        <v>95</v>
      </c>
      <c r="D53" s="97">
        <v>137</v>
      </c>
      <c r="E53" s="97">
        <v>1196</v>
      </c>
      <c r="F53" s="97">
        <v>1582</v>
      </c>
      <c r="G53" s="97"/>
      <c r="H53" s="97"/>
      <c r="I53" s="97"/>
      <c r="J53" s="97"/>
    </row>
    <row r="54" spans="1:10">
      <c r="A54" s="54">
        <v>50</v>
      </c>
      <c r="B54" s="340"/>
      <c r="C54" s="97">
        <v>95</v>
      </c>
      <c r="D54" s="97">
        <v>137</v>
      </c>
      <c r="E54" s="97">
        <v>1196</v>
      </c>
      <c r="F54" s="97">
        <v>1582</v>
      </c>
      <c r="G54" s="97"/>
      <c r="H54" s="97"/>
      <c r="I54" s="97"/>
      <c r="J54" s="97"/>
    </row>
    <row r="55" spans="1:10">
      <c r="A55" s="54">
        <v>51</v>
      </c>
      <c r="B55" s="340"/>
      <c r="C55" s="97">
        <v>95</v>
      </c>
      <c r="D55" s="97">
        <v>137</v>
      </c>
      <c r="E55" s="97">
        <v>1196</v>
      </c>
      <c r="F55" s="97">
        <v>1582</v>
      </c>
      <c r="G55" s="97"/>
      <c r="H55" s="97"/>
      <c r="I55" s="97"/>
      <c r="J55" s="97"/>
    </row>
    <row r="56" spans="1:10">
      <c r="A56" s="54">
        <v>52</v>
      </c>
      <c r="B56" s="340"/>
      <c r="C56" s="97">
        <v>97</v>
      </c>
      <c r="D56" s="97">
        <v>141</v>
      </c>
      <c r="E56" s="97">
        <v>1233</v>
      </c>
      <c r="F56" s="97">
        <v>1630</v>
      </c>
      <c r="G56" s="97"/>
      <c r="H56" s="97"/>
      <c r="I56" s="97"/>
      <c r="J56" s="97"/>
    </row>
    <row r="57" spans="1:10">
      <c r="A57" s="54">
        <v>53</v>
      </c>
      <c r="B57" s="340"/>
      <c r="C57" s="97">
        <v>97</v>
      </c>
      <c r="D57" s="97">
        <v>141</v>
      </c>
      <c r="E57" s="97">
        <v>1233</v>
      </c>
      <c r="F57" s="97">
        <v>1630</v>
      </c>
      <c r="G57" s="97"/>
      <c r="H57" s="97"/>
      <c r="I57" s="97"/>
      <c r="J57" s="97"/>
    </row>
    <row r="58" spans="1:10">
      <c r="A58" s="54">
        <v>54</v>
      </c>
      <c r="B58" s="340"/>
      <c r="C58" s="97">
        <v>97</v>
      </c>
      <c r="D58" s="97">
        <v>141</v>
      </c>
      <c r="E58" s="97">
        <v>1233</v>
      </c>
      <c r="F58" s="97">
        <v>1630</v>
      </c>
      <c r="G58" s="97"/>
      <c r="H58" s="97"/>
      <c r="I58" s="97"/>
      <c r="J58" s="97"/>
    </row>
    <row r="59" spans="1:10">
      <c r="A59" s="54">
        <v>55</v>
      </c>
      <c r="B59" s="340"/>
      <c r="C59" s="97">
        <v>100</v>
      </c>
      <c r="D59" s="97">
        <v>145</v>
      </c>
      <c r="E59" s="97">
        <v>1269</v>
      </c>
      <c r="F59" s="97">
        <v>1679</v>
      </c>
      <c r="G59" s="97"/>
      <c r="H59" s="97"/>
      <c r="I59" s="97"/>
      <c r="J59" s="97"/>
    </row>
    <row r="60" spans="1:10">
      <c r="A60" s="54">
        <v>56</v>
      </c>
      <c r="B60" s="340"/>
      <c r="C60" s="97">
        <v>100</v>
      </c>
      <c r="D60" s="97">
        <v>145</v>
      </c>
      <c r="E60" s="97">
        <v>1269</v>
      </c>
      <c r="F60" s="97">
        <v>1679</v>
      </c>
      <c r="G60" s="97"/>
      <c r="H60" s="97"/>
      <c r="I60" s="97"/>
      <c r="J60" s="97"/>
    </row>
    <row r="61" spans="1:10">
      <c r="A61" s="54">
        <v>57</v>
      </c>
      <c r="B61" s="340"/>
      <c r="C61" s="97">
        <v>100</v>
      </c>
      <c r="D61" s="97">
        <v>145</v>
      </c>
      <c r="E61" s="97">
        <v>1269</v>
      </c>
      <c r="F61" s="97">
        <v>1679</v>
      </c>
      <c r="G61" s="97"/>
      <c r="H61" s="97"/>
      <c r="I61" s="97"/>
      <c r="J61" s="97"/>
    </row>
    <row r="62" spans="1:10">
      <c r="A62" s="54">
        <v>58</v>
      </c>
      <c r="B62" s="340"/>
      <c r="C62" s="97">
        <v>103</v>
      </c>
      <c r="D62" s="97" t="s">
        <v>162</v>
      </c>
      <c r="E62" s="97" t="s">
        <v>163</v>
      </c>
      <c r="F62" s="97" t="s">
        <v>164</v>
      </c>
      <c r="G62" s="97"/>
      <c r="H62" s="97"/>
      <c r="I62" s="97"/>
      <c r="J62" s="97"/>
    </row>
    <row r="63" spans="1:10">
      <c r="A63" s="54">
        <v>59</v>
      </c>
      <c r="B63" s="340"/>
      <c r="C63" s="97">
        <v>103</v>
      </c>
      <c r="D63" s="97" t="s">
        <v>162</v>
      </c>
      <c r="E63" s="97" t="s">
        <v>163</v>
      </c>
      <c r="F63" s="97" t="s">
        <v>164</v>
      </c>
      <c r="G63" s="97"/>
      <c r="H63" s="97"/>
      <c r="I63" s="97"/>
      <c r="J63" s="97"/>
    </row>
    <row r="64" spans="1:10">
      <c r="A64" s="54">
        <v>60</v>
      </c>
      <c r="B64" s="340"/>
      <c r="C64" s="97">
        <v>103</v>
      </c>
      <c r="D64" s="97" t="s">
        <v>162</v>
      </c>
      <c r="E64" s="97" t="s">
        <v>163</v>
      </c>
      <c r="F64" s="97" t="s">
        <v>164</v>
      </c>
      <c r="G64" s="97"/>
      <c r="H64" s="97"/>
      <c r="I64" s="97"/>
      <c r="J64" s="97"/>
    </row>
    <row r="65" spans="1:10">
      <c r="A65" s="54">
        <v>61</v>
      </c>
      <c r="B65" s="340"/>
      <c r="C65" s="97">
        <v>107</v>
      </c>
      <c r="D65" s="97" t="s">
        <v>165</v>
      </c>
      <c r="E65" s="97" t="s">
        <v>166</v>
      </c>
      <c r="F65" s="97" t="s">
        <v>167</v>
      </c>
      <c r="G65" s="97"/>
      <c r="H65" s="97"/>
      <c r="I65" s="97"/>
      <c r="J65" s="97"/>
    </row>
    <row r="66" spans="1:10">
      <c r="A66" s="54">
        <v>62</v>
      </c>
      <c r="B66" s="340"/>
      <c r="C66" s="97">
        <v>107</v>
      </c>
      <c r="D66" s="97" t="s">
        <v>165</v>
      </c>
      <c r="E66" s="97" t="s">
        <v>166</v>
      </c>
      <c r="F66" s="97" t="s">
        <v>167</v>
      </c>
      <c r="G66" s="97"/>
      <c r="H66" s="97"/>
      <c r="I66" s="97"/>
      <c r="J66" s="97"/>
    </row>
    <row r="67" spans="1:10">
      <c r="A67" s="54">
        <v>63</v>
      </c>
      <c r="B67" s="340"/>
      <c r="C67" s="97">
        <v>107</v>
      </c>
      <c r="D67" s="97" t="s">
        <v>165</v>
      </c>
      <c r="E67" s="97" t="s">
        <v>166</v>
      </c>
      <c r="F67" s="97" t="s">
        <v>167</v>
      </c>
      <c r="G67" s="97"/>
      <c r="H67" s="97"/>
      <c r="I67" s="97"/>
      <c r="J67" s="97"/>
    </row>
    <row r="68" spans="1:10">
      <c r="A68" s="54">
        <v>64</v>
      </c>
      <c r="B68" s="340"/>
      <c r="C68" s="97">
        <v>107</v>
      </c>
      <c r="D68" s="97" t="s">
        <v>165</v>
      </c>
      <c r="E68" s="97" t="s">
        <v>166</v>
      </c>
      <c r="F68" s="97" t="s">
        <v>167</v>
      </c>
      <c r="G68" s="97"/>
      <c r="H68" s="97"/>
      <c r="I68" s="97"/>
      <c r="J68" s="97"/>
    </row>
    <row r="69" spans="1:10">
      <c r="A69" s="54">
        <v>65</v>
      </c>
      <c r="B69" s="340"/>
      <c r="C69" s="97">
        <v>107</v>
      </c>
      <c r="D69" s="97" t="s">
        <v>165</v>
      </c>
      <c r="E69" s="97" t="s">
        <v>166</v>
      </c>
      <c r="F69" s="97" t="s">
        <v>167</v>
      </c>
      <c r="G69" s="97"/>
      <c r="H69" s="97"/>
      <c r="I69" s="97"/>
      <c r="J69" s="97"/>
    </row>
    <row r="70" spans="1:10">
      <c r="A70" s="54">
        <v>66</v>
      </c>
      <c r="B70" s="340"/>
      <c r="C70" s="97">
        <v>112</v>
      </c>
      <c r="D70" s="97" t="s">
        <v>168</v>
      </c>
      <c r="E70" s="97" t="s">
        <v>169</v>
      </c>
      <c r="F70" s="97" t="s">
        <v>170</v>
      </c>
      <c r="G70" s="97"/>
      <c r="H70" s="97"/>
      <c r="I70" s="97"/>
      <c r="J70" s="97"/>
    </row>
    <row r="71" spans="1:10">
      <c r="A71" s="54">
        <v>67</v>
      </c>
      <c r="B71" s="340"/>
      <c r="C71" s="97">
        <v>112</v>
      </c>
      <c r="D71" s="97" t="s">
        <v>168</v>
      </c>
      <c r="E71" s="97" t="s">
        <v>169</v>
      </c>
      <c r="F71" s="97" t="s">
        <v>170</v>
      </c>
      <c r="G71" s="97"/>
      <c r="H71" s="97"/>
      <c r="I71" s="97"/>
      <c r="J71" s="97"/>
    </row>
    <row r="72" spans="1:10">
      <c r="A72" s="54">
        <v>68</v>
      </c>
      <c r="B72" s="340"/>
      <c r="C72" s="97">
        <v>112</v>
      </c>
      <c r="D72" s="97" t="s">
        <v>168</v>
      </c>
      <c r="E72" s="97" t="s">
        <v>169</v>
      </c>
      <c r="F72" s="97" t="s">
        <v>170</v>
      </c>
      <c r="G72" s="97"/>
      <c r="H72" s="97"/>
      <c r="I72" s="97"/>
      <c r="J72" s="97"/>
    </row>
    <row r="73" spans="1:10">
      <c r="A73" s="54">
        <v>69</v>
      </c>
      <c r="B73" s="340"/>
      <c r="C73" s="97">
        <v>112</v>
      </c>
      <c r="D73" s="97" t="s">
        <v>168</v>
      </c>
      <c r="E73" s="97" t="s">
        <v>169</v>
      </c>
      <c r="F73" s="97" t="s">
        <v>170</v>
      </c>
      <c r="G73" s="97"/>
      <c r="H73" s="97"/>
      <c r="I73" s="97"/>
      <c r="J73" s="97"/>
    </row>
    <row r="74" spans="1:10">
      <c r="A74" s="54">
        <v>70</v>
      </c>
      <c r="B74" s="340"/>
      <c r="C74" s="97">
        <v>112</v>
      </c>
      <c r="D74" s="97" t="s">
        <v>168</v>
      </c>
      <c r="E74" s="97" t="s">
        <v>169</v>
      </c>
      <c r="F74" s="97" t="s">
        <v>170</v>
      </c>
      <c r="G74" s="97"/>
      <c r="H74" s="97"/>
      <c r="I74" s="97"/>
      <c r="J74" s="97"/>
    </row>
    <row r="75" spans="1:10">
      <c r="A75" s="54">
        <v>71</v>
      </c>
      <c r="B75" s="340"/>
      <c r="C75" s="97">
        <v>117</v>
      </c>
      <c r="D75" s="97" t="s">
        <v>171</v>
      </c>
      <c r="E75" s="97" t="s">
        <v>172</v>
      </c>
      <c r="F75" s="97" t="s">
        <v>173</v>
      </c>
      <c r="G75" s="97"/>
      <c r="H75" s="97"/>
      <c r="I75" s="97"/>
      <c r="J75" s="97"/>
    </row>
    <row r="76" spans="1:10">
      <c r="A76" s="54">
        <v>72</v>
      </c>
      <c r="B76" s="340"/>
      <c r="C76" s="97">
        <v>117</v>
      </c>
      <c r="D76" s="97" t="s">
        <v>171</v>
      </c>
      <c r="E76" s="97" t="s">
        <v>172</v>
      </c>
      <c r="F76" s="97" t="s">
        <v>173</v>
      </c>
      <c r="G76" s="97"/>
      <c r="H76" s="97"/>
      <c r="I76" s="97"/>
      <c r="J76" s="97"/>
    </row>
    <row r="77" spans="1:10">
      <c r="A77" s="54">
        <v>73</v>
      </c>
      <c r="B77" s="340"/>
      <c r="C77" s="97">
        <v>117</v>
      </c>
      <c r="D77" s="97" t="s">
        <v>171</v>
      </c>
      <c r="E77" s="97" t="s">
        <v>172</v>
      </c>
      <c r="F77" s="97" t="s">
        <v>173</v>
      </c>
      <c r="G77" s="97"/>
      <c r="H77" s="97"/>
      <c r="I77" s="97"/>
      <c r="J77" s="97"/>
    </row>
    <row r="78" spans="1:10">
      <c r="A78" s="54">
        <v>74</v>
      </c>
      <c r="B78" s="340"/>
      <c r="C78" s="97">
        <v>117</v>
      </c>
      <c r="D78" s="97" t="s">
        <v>171</v>
      </c>
      <c r="E78" s="97" t="s">
        <v>172</v>
      </c>
      <c r="F78" s="97" t="s">
        <v>173</v>
      </c>
      <c r="G78" s="97"/>
      <c r="H78" s="97"/>
      <c r="I78" s="97"/>
      <c r="J78" s="97"/>
    </row>
    <row r="79" spans="1:10">
      <c r="A79" s="54">
        <v>75</v>
      </c>
      <c r="B79" s="340"/>
      <c r="C79" s="97">
        <v>117</v>
      </c>
      <c r="D79" s="97" t="s">
        <v>171</v>
      </c>
      <c r="E79" s="97" t="s">
        <v>172</v>
      </c>
      <c r="F79" s="97" t="s">
        <v>173</v>
      </c>
      <c r="G79" s="97"/>
      <c r="H79" s="97"/>
      <c r="I79" s="97"/>
      <c r="J79" s="97"/>
    </row>
    <row r="80" spans="1:10">
      <c r="A80" s="54">
        <v>76</v>
      </c>
      <c r="B80" s="340"/>
      <c r="C80" s="97">
        <v>122</v>
      </c>
      <c r="D80" s="97" t="s">
        <v>174</v>
      </c>
      <c r="E80" s="97" t="s">
        <v>175</v>
      </c>
      <c r="F80" s="97" t="s">
        <v>176</v>
      </c>
      <c r="G80" s="97"/>
      <c r="H80" s="97"/>
      <c r="I80" s="97"/>
      <c r="J80" s="97"/>
    </row>
    <row r="81" spans="1:10">
      <c r="A81" s="54">
        <v>77</v>
      </c>
      <c r="B81" s="340"/>
      <c r="C81" s="97">
        <v>122</v>
      </c>
      <c r="D81" s="97" t="s">
        <v>174</v>
      </c>
      <c r="E81" s="97" t="s">
        <v>175</v>
      </c>
      <c r="F81" s="97" t="s">
        <v>176</v>
      </c>
      <c r="G81" s="97"/>
      <c r="H81" s="97"/>
      <c r="I81" s="97"/>
      <c r="J81" s="97"/>
    </row>
    <row r="82" spans="1:10">
      <c r="A82" s="54">
        <v>78</v>
      </c>
      <c r="B82" s="340"/>
      <c r="C82" s="97">
        <v>122</v>
      </c>
      <c r="D82" s="97" t="s">
        <v>174</v>
      </c>
      <c r="E82" s="97" t="s">
        <v>175</v>
      </c>
      <c r="F82" s="97" t="s">
        <v>176</v>
      </c>
      <c r="G82" s="97"/>
      <c r="H82" s="97"/>
      <c r="I82" s="97"/>
      <c r="J82" s="97"/>
    </row>
    <row r="83" spans="1:10">
      <c r="A83" s="54">
        <v>79</v>
      </c>
      <c r="B83" s="340"/>
      <c r="C83" s="97">
        <v>122</v>
      </c>
      <c r="D83" s="97" t="s">
        <v>174</v>
      </c>
      <c r="E83" s="97" t="s">
        <v>175</v>
      </c>
      <c r="F83" s="97" t="s">
        <v>176</v>
      </c>
      <c r="G83" s="97"/>
      <c r="H83" s="97"/>
      <c r="I83" s="97"/>
      <c r="J83" s="97"/>
    </row>
    <row r="84" spans="1:10">
      <c r="A84" s="54">
        <v>80</v>
      </c>
      <c r="B84" s="340"/>
      <c r="C84" s="97">
        <v>122</v>
      </c>
      <c r="D84" s="97" t="s">
        <v>174</v>
      </c>
      <c r="E84" s="97" t="s">
        <v>175</v>
      </c>
      <c r="F84" s="97" t="s">
        <v>176</v>
      </c>
      <c r="G84" s="97"/>
      <c r="H84" s="97"/>
      <c r="I84" s="97"/>
      <c r="J84" s="97"/>
    </row>
    <row r="85" spans="1:10">
      <c r="A85" s="54">
        <v>81</v>
      </c>
      <c r="B85" s="340"/>
      <c r="C85" s="97">
        <v>126</v>
      </c>
      <c r="D85" s="97" t="s">
        <v>177</v>
      </c>
      <c r="E85" s="97" t="s">
        <v>178</v>
      </c>
      <c r="F85" s="97" t="s">
        <v>179</v>
      </c>
      <c r="G85" s="97"/>
      <c r="H85" s="97"/>
      <c r="I85" s="97"/>
      <c r="J85" s="97"/>
    </row>
    <row r="86" spans="1:10">
      <c r="A86" s="54">
        <v>82</v>
      </c>
      <c r="B86" s="340"/>
      <c r="C86" s="97">
        <v>126</v>
      </c>
      <c r="D86" s="97" t="s">
        <v>177</v>
      </c>
      <c r="E86" s="97" t="s">
        <v>178</v>
      </c>
      <c r="F86" s="97" t="s">
        <v>179</v>
      </c>
      <c r="G86" s="97"/>
      <c r="H86" s="97"/>
      <c r="I86" s="97"/>
      <c r="J86" s="97"/>
    </row>
    <row r="87" spans="1:10">
      <c r="A87" s="54">
        <v>83</v>
      </c>
      <c r="B87" s="340"/>
      <c r="C87" s="97">
        <v>126</v>
      </c>
      <c r="D87" s="97" t="s">
        <v>177</v>
      </c>
      <c r="E87" s="97" t="s">
        <v>178</v>
      </c>
      <c r="F87" s="97" t="s">
        <v>179</v>
      </c>
      <c r="G87" s="97"/>
      <c r="H87" s="97"/>
      <c r="I87" s="97"/>
      <c r="J87" s="97"/>
    </row>
    <row r="88" spans="1:10">
      <c r="A88" s="54">
        <v>84</v>
      </c>
      <c r="B88" s="340"/>
      <c r="C88" s="97">
        <v>126</v>
      </c>
      <c r="D88" s="97" t="s">
        <v>177</v>
      </c>
      <c r="E88" s="97" t="s">
        <v>178</v>
      </c>
      <c r="F88" s="97" t="s">
        <v>179</v>
      </c>
      <c r="G88" s="97"/>
      <c r="H88" s="97"/>
      <c r="I88" s="97"/>
      <c r="J88" s="97"/>
    </row>
    <row r="89" spans="1:10">
      <c r="A89" s="54">
        <v>85</v>
      </c>
      <c r="B89" s="340"/>
      <c r="C89" s="97">
        <v>126</v>
      </c>
      <c r="D89" s="97" t="s">
        <v>177</v>
      </c>
      <c r="E89" s="97" t="s">
        <v>178</v>
      </c>
      <c r="F89" s="97" t="s">
        <v>179</v>
      </c>
      <c r="G89" s="97"/>
      <c r="H89" s="97"/>
      <c r="I89" s="97"/>
      <c r="J89" s="97"/>
    </row>
    <row r="90" spans="1:10">
      <c r="A90" s="54">
        <v>86</v>
      </c>
      <c r="B90" s="340"/>
      <c r="C90" s="97">
        <v>131</v>
      </c>
      <c r="D90" s="97" t="s">
        <v>180</v>
      </c>
      <c r="E90" s="97" t="s">
        <v>181</v>
      </c>
      <c r="F90" s="97" t="s">
        <v>182</v>
      </c>
      <c r="G90" s="97"/>
      <c r="H90" s="97"/>
      <c r="I90" s="97"/>
      <c r="J90" s="97"/>
    </row>
    <row r="91" spans="1:10">
      <c r="A91" s="54">
        <v>87</v>
      </c>
      <c r="B91" s="340"/>
      <c r="C91" s="97">
        <v>131</v>
      </c>
      <c r="D91" s="97" t="s">
        <v>180</v>
      </c>
      <c r="E91" s="97" t="s">
        <v>181</v>
      </c>
      <c r="F91" s="97" t="s">
        <v>182</v>
      </c>
      <c r="G91" s="97"/>
      <c r="H91" s="97"/>
      <c r="I91" s="97"/>
      <c r="J91" s="97"/>
    </row>
    <row r="92" spans="1:10">
      <c r="A92" s="54">
        <v>88</v>
      </c>
      <c r="B92" s="340"/>
      <c r="C92" s="97">
        <v>131</v>
      </c>
      <c r="D92" s="97" t="s">
        <v>180</v>
      </c>
      <c r="E92" s="97" t="s">
        <v>181</v>
      </c>
      <c r="F92" s="97" t="s">
        <v>182</v>
      </c>
      <c r="G92" s="97"/>
      <c r="H92" s="97"/>
      <c r="I92" s="97"/>
      <c r="J92" s="97"/>
    </row>
    <row r="93" spans="1:10">
      <c r="A93" s="54">
        <v>89</v>
      </c>
      <c r="B93" s="340"/>
      <c r="C93" s="97">
        <v>131</v>
      </c>
      <c r="D93" s="97" t="s">
        <v>180</v>
      </c>
      <c r="E93" s="97" t="s">
        <v>181</v>
      </c>
      <c r="F93" s="97" t="s">
        <v>182</v>
      </c>
      <c r="G93" s="97"/>
      <c r="H93" s="97"/>
      <c r="I93" s="97"/>
      <c r="J93" s="97"/>
    </row>
    <row r="94" spans="1:10">
      <c r="A94" s="54">
        <v>90</v>
      </c>
      <c r="B94" s="340"/>
      <c r="C94" s="97">
        <v>131</v>
      </c>
      <c r="D94" s="97" t="s">
        <v>180</v>
      </c>
      <c r="E94" s="97" t="s">
        <v>181</v>
      </c>
      <c r="F94" s="97" t="s">
        <v>182</v>
      </c>
      <c r="G94" s="97"/>
      <c r="H94" s="97"/>
      <c r="I94" s="97"/>
      <c r="J94" s="97"/>
    </row>
    <row r="95" spans="1:10">
      <c r="A95" s="54">
        <v>91</v>
      </c>
      <c r="B95" s="340"/>
      <c r="C95" s="97">
        <v>136</v>
      </c>
      <c r="D95" s="97" t="s">
        <v>183</v>
      </c>
      <c r="E95" s="97" t="s">
        <v>184</v>
      </c>
      <c r="F95" s="97" t="s">
        <v>185</v>
      </c>
      <c r="G95" s="97"/>
      <c r="H95" s="97"/>
      <c r="I95" s="97"/>
      <c r="J95" s="97"/>
    </row>
    <row r="96" spans="1:10">
      <c r="A96" s="54">
        <v>92</v>
      </c>
      <c r="B96" s="340"/>
      <c r="C96" s="97">
        <v>136</v>
      </c>
      <c r="D96" s="97" t="s">
        <v>183</v>
      </c>
      <c r="E96" s="97" t="s">
        <v>184</v>
      </c>
      <c r="F96" s="97" t="s">
        <v>185</v>
      </c>
      <c r="G96" s="97"/>
      <c r="H96" s="97"/>
      <c r="I96" s="97"/>
      <c r="J96" s="97"/>
    </row>
    <row r="97" spans="1:10">
      <c r="A97" s="54">
        <v>93</v>
      </c>
      <c r="B97" s="340"/>
      <c r="C97" s="97">
        <v>136</v>
      </c>
      <c r="D97" s="97" t="s">
        <v>183</v>
      </c>
      <c r="E97" s="97" t="s">
        <v>184</v>
      </c>
      <c r="F97" s="97" t="s">
        <v>185</v>
      </c>
      <c r="G97" s="97"/>
      <c r="H97" s="97"/>
      <c r="I97" s="97"/>
      <c r="J97" s="97"/>
    </row>
    <row r="98" spans="1:10">
      <c r="A98" s="54">
        <v>94</v>
      </c>
      <c r="B98" s="340"/>
      <c r="C98" s="97">
        <v>136</v>
      </c>
      <c r="D98" s="97" t="s">
        <v>183</v>
      </c>
      <c r="E98" s="97" t="s">
        <v>184</v>
      </c>
      <c r="F98" s="97" t="s">
        <v>185</v>
      </c>
      <c r="G98" s="97"/>
      <c r="H98" s="97"/>
      <c r="I98" s="97"/>
      <c r="J98" s="97"/>
    </row>
    <row r="99" spans="1:10">
      <c r="A99" s="54">
        <v>95</v>
      </c>
      <c r="B99" s="340"/>
      <c r="C99" s="97">
        <v>136</v>
      </c>
      <c r="D99" s="97" t="s">
        <v>183</v>
      </c>
      <c r="E99" s="97" t="s">
        <v>184</v>
      </c>
      <c r="F99" s="97" t="s">
        <v>185</v>
      </c>
      <c r="G99" s="97"/>
      <c r="H99" s="97"/>
      <c r="I99" s="97"/>
      <c r="J99" s="97"/>
    </row>
    <row r="100" spans="1:10">
      <c r="A100" s="54">
        <v>96</v>
      </c>
      <c r="B100" s="340"/>
      <c r="C100" s="97">
        <v>141</v>
      </c>
      <c r="D100" s="97" t="s">
        <v>186</v>
      </c>
      <c r="E100" s="97" t="s">
        <v>187</v>
      </c>
      <c r="F100" s="97" t="s">
        <v>188</v>
      </c>
      <c r="G100" s="97"/>
      <c r="H100" s="97"/>
      <c r="I100" s="97"/>
      <c r="J100" s="97"/>
    </row>
    <row r="101" spans="1:10">
      <c r="A101" s="54">
        <v>97</v>
      </c>
      <c r="B101" s="340"/>
      <c r="C101" s="97">
        <v>141</v>
      </c>
      <c r="D101" s="97" t="s">
        <v>186</v>
      </c>
      <c r="E101" s="97" t="s">
        <v>187</v>
      </c>
      <c r="F101" s="97" t="s">
        <v>188</v>
      </c>
      <c r="G101" s="97"/>
      <c r="H101" s="97"/>
      <c r="I101" s="97"/>
      <c r="J101" s="97"/>
    </row>
    <row r="102" spans="1:10">
      <c r="A102" s="54">
        <v>98</v>
      </c>
      <c r="B102" s="340"/>
      <c r="C102" s="97">
        <v>141</v>
      </c>
      <c r="D102" s="97" t="s">
        <v>186</v>
      </c>
      <c r="E102" s="97" t="s">
        <v>187</v>
      </c>
      <c r="F102" s="97" t="s">
        <v>188</v>
      </c>
      <c r="G102" s="97"/>
      <c r="H102" s="97"/>
      <c r="I102" s="97"/>
      <c r="J102" s="97"/>
    </row>
    <row r="103" spans="1:10">
      <c r="A103" s="54">
        <v>99</v>
      </c>
      <c r="B103" s="340"/>
      <c r="C103" s="97">
        <v>141</v>
      </c>
      <c r="D103" s="97" t="s">
        <v>186</v>
      </c>
      <c r="E103" s="97" t="s">
        <v>187</v>
      </c>
      <c r="F103" s="97" t="s">
        <v>188</v>
      </c>
      <c r="G103" s="97"/>
      <c r="H103" s="97"/>
      <c r="I103" s="97"/>
      <c r="J103" s="97"/>
    </row>
    <row r="104" spans="1:10">
      <c r="A104" s="54">
        <v>100</v>
      </c>
      <c r="B104" s="340"/>
      <c r="C104" s="97">
        <v>141</v>
      </c>
      <c r="D104" s="97" t="s">
        <v>186</v>
      </c>
      <c r="E104" s="97" t="s">
        <v>187</v>
      </c>
      <c r="F104" s="97" t="s">
        <v>188</v>
      </c>
      <c r="G104" s="97"/>
      <c r="H104" s="97"/>
      <c r="I104" s="97"/>
      <c r="J104" s="97"/>
    </row>
    <row r="105" spans="1:10">
      <c r="A105" s="54">
        <v>101</v>
      </c>
      <c r="B105" s="340"/>
      <c r="C105" s="97">
        <v>146</v>
      </c>
      <c r="D105" s="97" t="s">
        <v>189</v>
      </c>
      <c r="E105" s="97" t="s">
        <v>190</v>
      </c>
      <c r="F105" s="97" t="s">
        <v>191</v>
      </c>
      <c r="G105" s="97"/>
      <c r="H105" s="97"/>
      <c r="I105" s="97"/>
      <c r="J105" s="97"/>
    </row>
    <row r="106" spans="1:10">
      <c r="A106" s="54">
        <v>102</v>
      </c>
      <c r="B106" s="340"/>
      <c r="C106" s="97">
        <v>146</v>
      </c>
      <c r="D106" s="97" t="s">
        <v>189</v>
      </c>
      <c r="E106" s="97" t="s">
        <v>190</v>
      </c>
      <c r="F106" s="97" t="s">
        <v>191</v>
      </c>
      <c r="G106" s="97"/>
      <c r="H106" s="97"/>
      <c r="I106" s="97"/>
      <c r="J106" s="97"/>
    </row>
    <row r="107" spans="1:10">
      <c r="A107" s="54">
        <v>103</v>
      </c>
      <c r="B107" s="340"/>
      <c r="C107" s="97">
        <v>146</v>
      </c>
      <c r="D107" s="97" t="s">
        <v>189</v>
      </c>
      <c r="E107" s="97" t="s">
        <v>190</v>
      </c>
      <c r="F107" s="97" t="s">
        <v>191</v>
      </c>
      <c r="G107" s="97"/>
      <c r="H107" s="97"/>
      <c r="I107" s="97"/>
      <c r="J107" s="97"/>
    </row>
    <row r="108" spans="1:10">
      <c r="A108" s="54">
        <v>104</v>
      </c>
      <c r="B108" s="340"/>
      <c r="C108" s="97">
        <v>146</v>
      </c>
      <c r="D108" s="97" t="s">
        <v>189</v>
      </c>
      <c r="E108" s="97" t="s">
        <v>190</v>
      </c>
      <c r="F108" s="97" t="s">
        <v>191</v>
      </c>
      <c r="G108" s="97"/>
      <c r="H108" s="97"/>
      <c r="I108" s="97"/>
      <c r="J108" s="97"/>
    </row>
    <row r="109" spans="1:10">
      <c r="A109" s="54">
        <v>105</v>
      </c>
      <c r="B109" s="340"/>
      <c r="C109" s="97">
        <v>146</v>
      </c>
      <c r="D109" s="97" t="s">
        <v>189</v>
      </c>
      <c r="E109" s="97" t="s">
        <v>190</v>
      </c>
      <c r="F109" s="97" t="s">
        <v>191</v>
      </c>
      <c r="G109" s="97"/>
      <c r="H109" s="97"/>
      <c r="I109" s="97"/>
      <c r="J109" s="97"/>
    </row>
    <row r="110" spans="1:10">
      <c r="A110" s="54">
        <v>106</v>
      </c>
      <c r="B110" s="340"/>
      <c r="C110" s="97">
        <v>151</v>
      </c>
      <c r="D110" s="97" t="s">
        <v>192</v>
      </c>
      <c r="E110" s="97" t="s">
        <v>193</v>
      </c>
      <c r="F110" s="97" t="s">
        <v>194</v>
      </c>
      <c r="G110" s="97"/>
      <c r="H110" s="97"/>
      <c r="I110" s="97"/>
      <c r="J110" s="97"/>
    </row>
    <row r="111" spans="1:10">
      <c r="A111" s="54">
        <v>107</v>
      </c>
      <c r="B111" s="340"/>
      <c r="C111" s="97">
        <v>151</v>
      </c>
      <c r="D111" s="97" t="s">
        <v>192</v>
      </c>
      <c r="E111" s="97" t="s">
        <v>193</v>
      </c>
      <c r="F111" s="97" t="s">
        <v>194</v>
      </c>
      <c r="G111" s="97"/>
      <c r="H111" s="97"/>
      <c r="I111" s="97"/>
      <c r="J111" s="97"/>
    </row>
    <row r="112" spans="1:10">
      <c r="A112" s="54">
        <v>108</v>
      </c>
      <c r="B112" s="340"/>
      <c r="C112" s="97">
        <v>151</v>
      </c>
      <c r="D112" s="97" t="s">
        <v>192</v>
      </c>
      <c r="E112" s="97" t="s">
        <v>193</v>
      </c>
      <c r="F112" s="97" t="s">
        <v>194</v>
      </c>
      <c r="G112" s="97"/>
      <c r="H112" s="97"/>
      <c r="I112" s="97"/>
      <c r="J112" s="97"/>
    </row>
    <row r="113" spans="1:10">
      <c r="A113" s="54">
        <v>109</v>
      </c>
      <c r="B113" s="340"/>
      <c r="C113" s="97">
        <v>151</v>
      </c>
      <c r="D113" s="97" t="s">
        <v>192</v>
      </c>
      <c r="E113" s="97" t="s">
        <v>193</v>
      </c>
      <c r="F113" s="97" t="s">
        <v>194</v>
      </c>
      <c r="G113" s="97"/>
      <c r="H113" s="97"/>
      <c r="I113" s="97"/>
      <c r="J113" s="97"/>
    </row>
    <row r="114" spans="1:10">
      <c r="A114" s="54">
        <v>110</v>
      </c>
      <c r="B114" s="340"/>
      <c r="C114" s="97">
        <v>151</v>
      </c>
      <c r="D114" s="97" t="s">
        <v>192</v>
      </c>
      <c r="E114" s="97" t="s">
        <v>193</v>
      </c>
      <c r="F114" s="97" t="s">
        <v>194</v>
      </c>
      <c r="G114" s="97"/>
      <c r="H114" s="97"/>
      <c r="I114" s="97"/>
      <c r="J114" s="97"/>
    </row>
    <row r="115" spans="1:10">
      <c r="A115" s="54">
        <v>111</v>
      </c>
      <c r="B115" s="340"/>
      <c r="C115" s="97">
        <v>155</v>
      </c>
      <c r="D115" s="97" t="s">
        <v>195</v>
      </c>
      <c r="E115" s="97" t="s">
        <v>196</v>
      </c>
      <c r="F115" s="97" t="s">
        <v>197</v>
      </c>
      <c r="G115" s="97"/>
      <c r="H115" s="97"/>
      <c r="I115" s="97"/>
      <c r="J115" s="97"/>
    </row>
    <row r="116" spans="1:10">
      <c r="A116" s="54">
        <v>112</v>
      </c>
      <c r="B116" s="340"/>
      <c r="C116" s="97">
        <v>155</v>
      </c>
      <c r="D116" s="97" t="s">
        <v>195</v>
      </c>
      <c r="E116" s="97" t="s">
        <v>196</v>
      </c>
      <c r="F116" s="97" t="s">
        <v>197</v>
      </c>
      <c r="G116" s="97"/>
      <c r="H116" s="97"/>
      <c r="I116" s="97"/>
      <c r="J116" s="97"/>
    </row>
    <row r="117" spans="1:10">
      <c r="A117" s="54">
        <v>113</v>
      </c>
      <c r="B117" s="340"/>
      <c r="C117" s="97">
        <v>155</v>
      </c>
      <c r="D117" s="97" t="s">
        <v>195</v>
      </c>
      <c r="E117" s="97" t="s">
        <v>196</v>
      </c>
      <c r="F117" s="97" t="s">
        <v>197</v>
      </c>
      <c r="G117" s="97"/>
      <c r="H117" s="97"/>
      <c r="I117" s="97"/>
      <c r="J117" s="97"/>
    </row>
    <row r="118" spans="1:10">
      <c r="A118" s="54">
        <v>114</v>
      </c>
      <c r="B118" s="340"/>
      <c r="C118" s="97">
        <v>155</v>
      </c>
      <c r="D118" s="97" t="s">
        <v>195</v>
      </c>
      <c r="E118" s="97" t="s">
        <v>196</v>
      </c>
      <c r="F118" s="97" t="s">
        <v>197</v>
      </c>
      <c r="G118" s="97"/>
      <c r="H118" s="97"/>
      <c r="I118" s="97"/>
      <c r="J118" s="97"/>
    </row>
    <row r="119" spans="1:10">
      <c r="A119" s="54">
        <v>115</v>
      </c>
      <c r="B119" s="340"/>
      <c r="C119" s="97">
        <v>155</v>
      </c>
      <c r="D119" s="97" t="s">
        <v>195</v>
      </c>
      <c r="E119" s="97" t="s">
        <v>196</v>
      </c>
      <c r="F119" s="97" t="s">
        <v>197</v>
      </c>
      <c r="G119" s="97"/>
      <c r="H119" s="97"/>
      <c r="I119" s="97"/>
      <c r="J119" s="97"/>
    </row>
    <row r="120" spans="1:10">
      <c r="A120" s="54">
        <v>116</v>
      </c>
      <c r="B120" s="340"/>
      <c r="C120" s="97">
        <v>160</v>
      </c>
      <c r="D120" s="97" t="s">
        <v>198</v>
      </c>
      <c r="E120" s="97" t="s">
        <v>199</v>
      </c>
      <c r="F120" s="97" t="s">
        <v>200</v>
      </c>
      <c r="G120" s="97"/>
      <c r="H120" s="97"/>
      <c r="I120" s="97"/>
      <c r="J120" s="97"/>
    </row>
    <row r="121" spans="1:10">
      <c r="A121" s="54">
        <v>117</v>
      </c>
      <c r="B121" s="340"/>
      <c r="C121" s="97">
        <v>160</v>
      </c>
      <c r="D121" s="97" t="s">
        <v>198</v>
      </c>
      <c r="E121" s="97" t="s">
        <v>199</v>
      </c>
      <c r="F121" s="97" t="s">
        <v>200</v>
      </c>
      <c r="G121" s="97"/>
      <c r="H121" s="97"/>
      <c r="I121" s="97"/>
      <c r="J121" s="97"/>
    </row>
    <row r="122" spans="1:10">
      <c r="A122" s="54">
        <v>118</v>
      </c>
      <c r="B122" s="340"/>
      <c r="C122" s="97">
        <v>160</v>
      </c>
      <c r="D122" s="97" t="s">
        <v>198</v>
      </c>
      <c r="E122" s="97" t="s">
        <v>199</v>
      </c>
      <c r="F122" s="97" t="s">
        <v>200</v>
      </c>
      <c r="G122" s="97"/>
      <c r="H122" s="97"/>
      <c r="I122" s="97"/>
      <c r="J122" s="97"/>
    </row>
    <row r="123" spans="1:10">
      <c r="A123" s="54">
        <v>119</v>
      </c>
      <c r="B123" s="340"/>
      <c r="C123" s="97">
        <v>160</v>
      </c>
      <c r="D123" s="97" t="s">
        <v>198</v>
      </c>
      <c r="E123" s="97" t="s">
        <v>199</v>
      </c>
      <c r="F123" s="97" t="s">
        <v>200</v>
      </c>
      <c r="G123" s="97"/>
      <c r="H123" s="97"/>
      <c r="I123" s="97"/>
      <c r="J123" s="97"/>
    </row>
    <row r="124" spans="1:10">
      <c r="A124" s="54">
        <v>120</v>
      </c>
      <c r="B124" s="340"/>
      <c r="C124" s="97">
        <v>160</v>
      </c>
      <c r="D124" s="97" t="s">
        <v>198</v>
      </c>
      <c r="E124" s="97" t="s">
        <v>199</v>
      </c>
      <c r="F124" s="97" t="s">
        <v>200</v>
      </c>
      <c r="G124" s="97"/>
      <c r="H124" s="97"/>
      <c r="I124" s="97"/>
      <c r="J124" s="97"/>
    </row>
    <row r="125" spans="1:10">
      <c r="A125" s="54">
        <v>121</v>
      </c>
      <c r="B125" s="340"/>
      <c r="C125" s="97">
        <v>165</v>
      </c>
      <c r="D125" s="97" t="s">
        <v>201</v>
      </c>
      <c r="E125" s="97" t="s">
        <v>202</v>
      </c>
      <c r="F125" s="97" t="s">
        <v>203</v>
      </c>
      <c r="G125" s="97"/>
      <c r="H125" s="97"/>
      <c r="I125" s="97"/>
      <c r="J125" s="97"/>
    </row>
    <row r="126" spans="1:10">
      <c r="A126" s="54">
        <v>122</v>
      </c>
      <c r="B126" s="259"/>
      <c r="C126" s="97">
        <v>165</v>
      </c>
      <c r="D126" s="97" t="s">
        <v>201</v>
      </c>
      <c r="E126" s="97" t="s">
        <v>202</v>
      </c>
      <c r="F126" s="97" t="s">
        <v>203</v>
      </c>
      <c r="G126" s="97"/>
      <c r="H126" s="97"/>
      <c r="I126" s="97"/>
      <c r="J126" s="97"/>
    </row>
    <row r="127" spans="1:10">
      <c r="A127" s="54">
        <v>123</v>
      </c>
      <c r="B127" s="259"/>
      <c r="C127" s="97">
        <v>165</v>
      </c>
      <c r="D127" s="97" t="s">
        <v>201</v>
      </c>
      <c r="E127" s="97" t="s">
        <v>202</v>
      </c>
      <c r="F127" s="97" t="s">
        <v>203</v>
      </c>
      <c r="G127" s="97"/>
      <c r="H127" s="97"/>
      <c r="I127" s="97"/>
      <c r="J127" s="97"/>
    </row>
    <row r="128" spans="1:10">
      <c r="A128" s="54">
        <v>124</v>
      </c>
      <c r="B128" s="259"/>
      <c r="C128" s="97">
        <v>165</v>
      </c>
      <c r="D128" s="97" t="s">
        <v>201</v>
      </c>
      <c r="E128" s="97" t="s">
        <v>202</v>
      </c>
      <c r="F128" s="97" t="s">
        <v>203</v>
      </c>
      <c r="G128" s="97"/>
      <c r="H128" s="97"/>
      <c r="I128" s="97"/>
      <c r="J128" s="97"/>
    </row>
    <row r="129" spans="1:10">
      <c r="A129" s="54">
        <v>125</v>
      </c>
      <c r="B129" s="259"/>
      <c r="C129" s="97">
        <v>165</v>
      </c>
      <c r="D129" s="97" t="s">
        <v>201</v>
      </c>
      <c r="E129" s="97" t="s">
        <v>202</v>
      </c>
      <c r="F129" s="97" t="s">
        <v>203</v>
      </c>
      <c r="G129" s="97"/>
      <c r="H129" s="97"/>
      <c r="I129" s="97"/>
      <c r="J129" s="97"/>
    </row>
    <row r="130" spans="1:10">
      <c r="A130" s="54">
        <v>126</v>
      </c>
      <c r="B130" s="55"/>
      <c r="C130" s="97">
        <v>170</v>
      </c>
      <c r="D130" s="97" t="s">
        <v>204</v>
      </c>
      <c r="E130" s="97" t="s">
        <v>205</v>
      </c>
      <c r="F130" s="97" t="s">
        <v>206</v>
      </c>
      <c r="G130" s="97"/>
      <c r="H130" s="97"/>
      <c r="I130" s="97"/>
      <c r="J130" s="97"/>
    </row>
    <row r="131" spans="1:10">
      <c r="A131" s="54">
        <v>127</v>
      </c>
      <c r="B131" s="55"/>
      <c r="C131" s="97">
        <v>170</v>
      </c>
      <c r="D131" s="97" t="s">
        <v>204</v>
      </c>
      <c r="E131" s="97" t="s">
        <v>205</v>
      </c>
      <c r="F131" s="97" t="s">
        <v>206</v>
      </c>
      <c r="G131" s="97"/>
      <c r="H131" s="97"/>
      <c r="I131" s="97"/>
      <c r="J131" s="97"/>
    </row>
    <row r="132" spans="1:10">
      <c r="A132" s="54">
        <v>128</v>
      </c>
      <c r="B132" s="55"/>
      <c r="C132" s="97">
        <v>170</v>
      </c>
      <c r="D132" s="97" t="s">
        <v>204</v>
      </c>
      <c r="E132" s="97" t="s">
        <v>205</v>
      </c>
      <c r="F132" s="97" t="s">
        <v>206</v>
      </c>
      <c r="G132" s="97"/>
      <c r="H132" s="97"/>
      <c r="I132" s="97"/>
      <c r="J132" s="97"/>
    </row>
    <row r="133" spans="1:10">
      <c r="A133" s="54">
        <v>129</v>
      </c>
      <c r="B133" s="55"/>
      <c r="C133" s="97">
        <v>170</v>
      </c>
      <c r="D133" s="97" t="s">
        <v>204</v>
      </c>
      <c r="E133" s="97" t="s">
        <v>205</v>
      </c>
      <c r="F133" s="97" t="s">
        <v>206</v>
      </c>
      <c r="G133" s="97"/>
      <c r="H133" s="97"/>
      <c r="I133" s="97"/>
      <c r="J133" s="97"/>
    </row>
    <row r="134" spans="1:10">
      <c r="A134" s="54">
        <v>130</v>
      </c>
      <c r="B134" s="55"/>
      <c r="C134" s="97">
        <v>170</v>
      </c>
      <c r="D134" s="97" t="s">
        <v>204</v>
      </c>
      <c r="E134" s="97" t="s">
        <v>205</v>
      </c>
      <c r="F134" s="97" t="s">
        <v>206</v>
      </c>
      <c r="G134" s="97"/>
      <c r="H134" s="97"/>
      <c r="I134" s="97"/>
      <c r="J134" s="97"/>
    </row>
    <row r="135" spans="1:10">
      <c r="A135" s="54">
        <v>131</v>
      </c>
      <c r="B135" s="55"/>
      <c r="C135" s="97">
        <v>175</v>
      </c>
      <c r="D135" s="97" t="s">
        <v>207</v>
      </c>
      <c r="E135" s="97" t="s">
        <v>208</v>
      </c>
      <c r="F135" s="97" t="s">
        <v>209</v>
      </c>
      <c r="G135" s="97"/>
      <c r="H135" s="97"/>
      <c r="I135" s="97"/>
      <c r="J135" s="97"/>
    </row>
    <row r="136" spans="1:10">
      <c r="A136" s="54">
        <v>132</v>
      </c>
      <c r="B136" s="55"/>
      <c r="C136" s="97">
        <v>175</v>
      </c>
      <c r="D136" s="97" t="s">
        <v>207</v>
      </c>
      <c r="E136" s="97" t="s">
        <v>208</v>
      </c>
      <c r="F136" s="97" t="s">
        <v>209</v>
      </c>
      <c r="G136" s="97"/>
      <c r="H136" s="97"/>
      <c r="I136" s="97"/>
      <c r="J136" s="97"/>
    </row>
    <row r="137" spans="1:10">
      <c r="A137" s="54">
        <v>133</v>
      </c>
      <c r="B137" s="55"/>
      <c r="C137" s="97">
        <v>175</v>
      </c>
      <c r="D137" s="97" t="s">
        <v>207</v>
      </c>
      <c r="E137" s="97" t="s">
        <v>208</v>
      </c>
      <c r="F137" s="97" t="s">
        <v>209</v>
      </c>
      <c r="G137" s="97"/>
      <c r="H137" s="97"/>
      <c r="I137" s="97"/>
      <c r="J137" s="97"/>
    </row>
    <row r="138" spans="1:10">
      <c r="A138" s="54">
        <v>134</v>
      </c>
      <c r="B138" s="55"/>
      <c r="C138" s="97">
        <v>175</v>
      </c>
      <c r="D138" s="97" t="s">
        <v>207</v>
      </c>
      <c r="E138" s="97" t="s">
        <v>208</v>
      </c>
      <c r="F138" s="97" t="s">
        <v>209</v>
      </c>
      <c r="G138" s="97"/>
      <c r="H138" s="97"/>
      <c r="I138" s="97"/>
      <c r="J138" s="97"/>
    </row>
    <row r="139" spans="1:10">
      <c r="A139" s="54">
        <v>135</v>
      </c>
      <c r="B139" s="55"/>
      <c r="C139" s="97">
        <v>175</v>
      </c>
      <c r="D139" s="97" t="s">
        <v>207</v>
      </c>
      <c r="E139" s="97" t="s">
        <v>208</v>
      </c>
      <c r="F139" s="97" t="s">
        <v>209</v>
      </c>
      <c r="G139" s="97"/>
      <c r="H139" s="97"/>
      <c r="I139" s="97"/>
      <c r="J139" s="97"/>
    </row>
    <row r="140" spans="1:10">
      <c r="A140" s="54">
        <v>136</v>
      </c>
      <c r="B140" s="55"/>
      <c r="C140" s="97">
        <v>180</v>
      </c>
      <c r="D140" s="97" t="s">
        <v>210</v>
      </c>
      <c r="E140" s="97" t="s">
        <v>211</v>
      </c>
      <c r="F140" s="97" t="s">
        <v>212</v>
      </c>
      <c r="G140" s="97"/>
      <c r="H140" s="97"/>
      <c r="I140" s="97"/>
      <c r="J140" s="97"/>
    </row>
    <row r="141" spans="1:10">
      <c r="A141" s="54">
        <v>137</v>
      </c>
      <c r="B141" s="55"/>
      <c r="C141" s="97">
        <v>180</v>
      </c>
      <c r="D141" s="97" t="s">
        <v>210</v>
      </c>
      <c r="E141" s="97" t="s">
        <v>211</v>
      </c>
      <c r="F141" s="97" t="s">
        <v>212</v>
      </c>
      <c r="G141" s="97"/>
      <c r="H141" s="97"/>
      <c r="I141" s="97"/>
      <c r="J141" s="97"/>
    </row>
    <row r="142" spans="1:10">
      <c r="A142" s="54">
        <v>138</v>
      </c>
      <c r="B142" s="55"/>
      <c r="C142" s="97">
        <v>180</v>
      </c>
      <c r="D142" s="97" t="s">
        <v>210</v>
      </c>
      <c r="E142" s="97" t="s">
        <v>211</v>
      </c>
      <c r="F142" s="97" t="s">
        <v>212</v>
      </c>
      <c r="G142" s="97"/>
      <c r="H142" s="97"/>
      <c r="I142" s="97"/>
      <c r="J142" s="97"/>
    </row>
    <row r="143" spans="1:10">
      <c r="A143" s="54">
        <v>139</v>
      </c>
      <c r="B143" s="55"/>
      <c r="C143" s="97">
        <v>180</v>
      </c>
      <c r="D143" s="97" t="s">
        <v>210</v>
      </c>
      <c r="E143" s="97" t="s">
        <v>211</v>
      </c>
      <c r="F143" s="97" t="s">
        <v>212</v>
      </c>
      <c r="G143" s="97"/>
      <c r="H143" s="97"/>
      <c r="I143" s="97"/>
      <c r="J143" s="97"/>
    </row>
    <row r="144" spans="1:10">
      <c r="A144" s="54">
        <v>140</v>
      </c>
      <c r="B144" s="55"/>
      <c r="C144" s="97">
        <v>180</v>
      </c>
      <c r="D144" s="97" t="s">
        <v>210</v>
      </c>
      <c r="E144" s="97" t="s">
        <v>211</v>
      </c>
      <c r="F144" s="97" t="s">
        <v>212</v>
      </c>
      <c r="G144" s="97"/>
      <c r="H144" s="97"/>
      <c r="I144" s="97"/>
      <c r="J144" s="97"/>
    </row>
    <row r="145" spans="1:10">
      <c r="A145" s="54">
        <v>141</v>
      </c>
      <c r="B145" s="55"/>
      <c r="C145" s="97">
        <v>184</v>
      </c>
      <c r="D145" s="97" t="s">
        <v>213</v>
      </c>
      <c r="E145" s="97" t="s">
        <v>214</v>
      </c>
      <c r="F145" s="97" t="s">
        <v>215</v>
      </c>
      <c r="G145" s="97"/>
      <c r="H145" s="97"/>
      <c r="I145" s="97"/>
      <c r="J145" s="97"/>
    </row>
    <row r="146" spans="1:10">
      <c r="A146" s="54">
        <v>142</v>
      </c>
      <c r="B146" s="55"/>
      <c r="C146" s="97">
        <v>184</v>
      </c>
      <c r="D146" s="97" t="s">
        <v>213</v>
      </c>
      <c r="E146" s="97" t="s">
        <v>214</v>
      </c>
      <c r="F146" s="97" t="s">
        <v>215</v>
      </c>
      <c r="G146" s="97"/>
      <c r="H146" s="97"/>
      <c r="I146" s="97"/>
      <c r="J146" s="97"/>
    </row>
    <row r="147" spans="1:10">
      <c r="A147" s="54">
        <v>143</v>
      </c>
      <c r="B147" s="55"/>
      <c r="C147" s="97">
        <v>184</v>
      </c>
      <c r="D147" s="97" t="s">
        <v>213</v>
      </c>
      <c r="E147" s="97" t="s">
        <v>214</v>
      </c>
      <c r="F147" s="97" t="s">
        <v>215</v>
      </c>
      <c r="G147" s="97"/>
      <c r="H147" s="97"/>
      <c r="I147" s="97"/>
      <c r="J147" s="97"/>
    </row>
    <row r="148" spans="1:10">
      <c r="A148" s="54">
        <v>144</v>
      </c>
      <c r="B148" s="55"/>
      <c r="C148" s="97">
        <v>184</v>
      </c>
      <c r="D148" s="97" t="s">
        <v>213</v>
      </c>
      <c r="E148" s="97" t="s">
        <v>214</v>
      </c>
      <c r="F148" s="97" t="s">
        <v>215</v>
      </c>
      <c r="G148" s="97"/>
      <c r="H148" s="97"/>
      <c r="I148" s="97"/>
      <c r="J148" s="97"/>
    </row>
    <row r="149" spans="1:10">
      <c r="A149" s="54">
        <v>145</v>
      </c>
      <c r="B149" s="55"/>
      <c r="C149" s="97">
        <v>184</v>
      </c>
      <c r="D149" s="97" t="s">
        <v>213</v>
      </c>
      <c r="E149" s="97" t="s">
        <v>214</v>
      </c>
      <c r="F149" s="97" t="s">
        <v>215</v>
      </c>
      <c r="G149" s="97"/>
      <c r="H149" s="97"/>
      <c r="I149" s="97"/>
      <c r="J149" s="97"/>
    </row>
    <row r="150" spans="1:10">
      <c r="A150" s="54">
        <v>146</v>
      </c>
      <c r="B150" s="55"/>
      <c r="C150" s="97">
        <v>191</v>
      </c>
      <c r="D150" s="97" t="s">
        <v>216</v>
      </c>
      <c r="E150" s="97" t="s">
        <v>217</v>
      </c>
      <c r="F150" s="97" t="s">
        <v>218</v>
      </c>
      <c r="G150" s="97"/>
      <c r="H150" s="97"/>
      <c r="I150" s="97"/>
      <c r="J150" s="97"/>
    </row>
    <row r="151" spans="1:10">
      <c r="A151" s="54">
        <v>147</v>
      </c>
      <c r="C151" s="97">
        <v>191</v>
      </c>
      <c r="D151" s="97" t="s">
        <v>216</v>
      </c>
      <c r="E151" s="97" t="s">
        <v>217</v>
      </c>
      <c r="F151" s="97" t="s">
        <v>218</v>
      </c>
      <c r="G151" s="97"/>
      <c r="H151" s="97"/>
      <c r="I151" s="97"/>
      <c r="J151" s="97"/>
    </row>
    <row r="152" spans="1:10">
      <c r="A152" s="54">
        <v>148</v>
      </c>
      <c r="C152" s="97">
        <v>191</v>
      </c>
      <c r="D152" s="97" t="s">
        <v>216</v>
      </c>
      <c r="E152" s="97" t="s">
        <v>217</v>
      </c>
      <c r="F152" s="97" t="s">
        <v>218</v>
      </c>
      <c r="G152" s="97"/>
      <c r="H152" s="97"/>
      <c r="I152" s="97"/>
      <c r="J152" s="97"/>
    </row>
    <row r="153" spans="1:10">
      <c r="A153" s="54">
        <v>149</v>
      </c>
      <c r="C153" s="97">
        <v>191</v>
      </c>
      <c r="D153" s="97" t="s">
        <v>216</v>
      </c>
      <c r="E153" s="97" t="s">
        <v>217</v>
      </c>
      <c r="F153" s="97" t="s">
        <v>218</v>
      </c>
      <c r="G153" s="97"/>
      <c r="H153" s="97"/>
      <c r="I153" s="97"/>
      <c r="J153" s="97"/>
    </row>
    <row r="154" spans="1:10">
      <c r="A154" s="54">
        <v>150</v>
      </c>
      <c r="C154" s="97">
        <v>191</v>
      </c>
      <c r="D154" s="97" t="s">
        <v>216</v>
      </c>
      <c r="E154" s="97" t="s">
        <v>217</v>
      </c>
      <c r="F154" s="97" t="s">
        <v>218</v>
      </c>
      <c r="G154" s="97"/>
      <c r="H154" s="97"/>
      <c r="I154" s="97"/>
      <c r="J154" s="97"/>
    </row>
  </sheetData>
  <mergeCells count="3">
    <mergeCell ref="G1:J1"/>
    <mergeCell ref="B5:B125"/>
    <mergeCell ref="C1:F1"/>
  </mergeCells>
  <phoneticPr fontId="2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26333-5363-44DF-882D-64A13E379991}">
  <sheetPr codeName="Blad7"/>
  <dimension ref="A1:CA452"/>
  <sheetViews>
    <sheetView topLeftCell="AM1" zoomScaleNormal="100" workbookViewId="0">
      <selection activeCell="P10" sqref="P10:Q10"/>
    </sheetView>
  </sheetViews>
  <sheetFormatPr defaultRowHeight="15"/>
  <cols>
    <col min="1" max="1" width="26.140625" bestFit="1" customWidth="1"/>
    <col min="2" max="2" width="4.140625" customWidth="1"/>
    <col min="3" max="3" width="25.140625" bestFit="1" customWidth="1"/>
    <col min="4" max="4" width="2.7109375" customWidth="1"/>
    <col min="5" max="5" width="26.140625" customWidth="1"/>
    <col min="6" max="6" width="8.85546875" customWidth="1"/>
    <col min="7" max="7" width="25.7109375" customWidth="1"/>
    <col min="8" max="8" width="5.42578125" customWidth="1"/>
    <col min="9" max="9" width="26.140625" bestFit="1" customWidth="1"/>
    <col min="10" max="10" width="9" customWidth="1"/>
    <col min="11" max="11" width="25.7109375" bestFit="1" customWidth="1"/>
    <col min="12" max="12" width="2.5703125" customWidth="1"/>
    <col min="13" max="13" width="25.7109375" hidden="1" customWidth="1"/>
    <col min="14" max="14" width="26.140625" bestFit="1" customWidth="1"/>
    <col min="15" max="15" width="9.140625" customWidth="1"/>
    <col min="16" max="16" width="25.7109375" bestFit="1" customWidth="1"/>
    <col min="17" max="17" width="2.7109375" customWidth="1"/>
    <col min="19" max="19" width="26.140625" bestFit="1" customWidth="1"/>
    <col min="20" max="20" width="1.7109375" customWidth="1"/>
    <col min="21" max="21" width="29.28515625" customWidth="1"/>
    <col min="23" max="23" width="28.28515625" customWidth="1"/>
    <col min="24" max="24" width="2.7109375" customWidth="1"/>
    <col min="25" max="25" width="29.28515625" customWidth="1"/>
    <col min="27" max="27" width="28.28515625" customWidth="1"/>
    <col min="28" max="28" width="4.7109375" customWidth="1"/>
    <col min="29" max="29" width="29.28515625" customWidth="1"/>
    <col min="31" max="31" width="28.28515625" customWidth="1"/>
    <col min="33" max="33" width="29.28515625" customWidth="1"/>
    <col min="34" max="34" width="12.7109375" customWidth="1"/>
    <col min="35" max="35" width="28.28515625" customWidth="1"/>
    <col min="37" max="37" width="29.28515625" customWidth="1"/>
    <col min="38" max="38" width="21.85546875" bestFit="1" customWidth="1"/>
    <col min="39" max="39" width="28.28515625" customWidth="1"/>
    <col min="40" max="40" width="2.28515625" customWidth="1"/>
    <col min="41" max="41" width="29.28515625" customWidth="1"/>
    <col min="42" max="42" width="11" customWidth="1"/>
    <col min="43" max="43" width="28.28515625" customWidth="1"/>
    <col min="44" max="44" width="2.7109375" customWidth="1"/>
    <col min="45" max="45" width="29.28515625" customWidth="1"/>
    <col min="47" max="47" width="28.28515625" customWidth="1"/>
    <col min="48" max="48" width="4.7109375" customWidth="1"/>
    <col min="49" max="49" width="29.28515625" customWidth="1"/>
    <col min="51" max="51" width="28.28515625" customWidth="1"/>
    <col min="53" max="53" width="29.28515625" customWidth="1"/>
    <col min="54" max="54" width="12.7109375" customWidth="1"/>
    <col min="55" max="55" width="28.28515625" customWidth="1"/>
    <col min="57" max="57" width="29.28515625" customWidth="1"/>
    <col min="58" max="58" width="21.85546875" bestFit="1" customWidth="1"/>
    <col min="59" max="59" width="28.28515625" customWidth="1"/>
    <col min="60" max="60" width="2" customWidth="1"/>
    <col min="61" max="61" width="29.28515625" customWidth="1"/>
    <col min="63" max="63" width="28.28515625" customWidth="1"/>
    <col min="64" max="64" width="2.7109375" customWidth="1"/>
    <col min="65" max="65" width="29.28515625" customWidth="1"/>
    <col min="67" max="67" width="28.28515625" customWidth="1"/>
    <col min="68" max="68" width="4.7109375" customWidth="1"/>
    <col min="69" max="69" width="29.28515625" customWidth="1"/>
    <col min="71" max="71" width="28.28515625" customWidth="1"/>
    <col min="73" max="73" width="29.28515625" customWidth="1"/>
    <col min="74" max="74" width="12.7109375" customWidth="1"/>
    <col min="75" max="75" width="28.28515625" customWidth="1"/>
    <col min="77" max="77" width="29.28515625" customWidth="1"/>
    <col min="78" max="78" width="21.85546875" bestFit="1" customWidth="1"/>
    <col min="79" max="79" width="28.28515625" customWidth="1"/>
  </cols>
  <sheetData>
    <row r="1" spans="1:79" s="168" customFormat="1" ht="33" customHeight="1">
      <c r="A1" s="341" t="s">
        <v>129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3"/>
      <c r="U1" s="341" t="s">
        <v>130</v>
      </c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3"/>
      <c r="AO1" s="341" t="s">
        <v>131</v>
      </c>
      <c r="AP1" s="342"/>
      <c r="AQ1" s="342"/>
      <c r="AR1" s="342"/>
      <c r="AS1" s="342"/>
      <c r="AT1" s="342"/>
      <c r="AU1" s="342"/>
      <c r="AV1" s="342"/>
      <c r="AW1" s="342"/>
      <c r="AX1" s="342"/>
      <c r="AY1" s="342"/>
      <c r="AZ1" s="342"/>
      <c r="BA1" s="342"/>
      <c r="BB1" s="342"/>
      <c r="BC1" s="342"/>
      <c r="BD1" s="342"/>
      <c r="BE1" s="342"/>
      <c r="BF1" s="342"/>
      <c r="BG1" s="343"/>
      <c r="BI1" s="341" t="s">
        <v>132</v>
      </c>
      <c r="BJ1" s="342"/>
      <c r="BK1" s="342"/>
      <c r="BL1" s="342"/>
      <c r="BM1" s="342"/>
      <c r="BN1" s="342"/>
      <c r="BO1" s="342"/>
      <c r="BP1" s="342"/>
      <c r="BQ1" s="342"/>
      <c r="BR1" s="342"/>
      <c r="BS1" s="342"/>
      <c r="BT1" s="342"/>
      <c r="BU1" s="342"/>
      <c r="BV1" s="342"/>
      <c r="BW1" s="342"/>
      <c r="BX1" s="342"/>
      <c r="BY1" s="342"/>
      <c r="BZ1" s="342"/>
      <c r="CA1" s="343"/>
    </row>
    <row r="2" spans="1:79" ht="37.15" customHeight="1">
      <c r="AP2" s="1" t="s">
        <v>133</v>
      </c>
    </row>
    <row r="3" spans="1:79">
      <c r="A3" s="124"/>
      <c r="F3">
        <v>0</v>
      </c>
      <c r="G3">
        <v>0</v>
      </c>
      <c r="H3" s="72">
        <v>1</v>
      </c>
      <c r="I3" s="72">
        <f>$C$4+G3</f>
        <v>10.5</v>
      </c>
      <c r="S3" s="125"/>
      <c r="U3" s="147"/>
      <c r="V3" s="346" t="str">
        <f>"samenvatting "&amp;U46</f>
        <v>samenvatting flexabo 10</v>
      </c>
      <c r="W3" s="347"/>
      <c r="Z3">
        <v>0</v>
      </c>
      <c r="AA3">
        <v>0</v>
      </c>
      <c r="AB3">
        <f>$V$4+Z3</f>
        <v>1</v>
      </c>
      <c r="AC3" s="72">
        <f>$W$4+AA3</f>
        <v>10.3</v>
      </c>
      <c r="AM3" s="148"/>
      <c r="AO3" s="147"/>
      <c r="AP3" s="346" t="str">
        <f>"samenvatting "&amp;AO46</f>
        <v>samenvatting flexabo 80</v>
      </c>
      <c r="AQ3" s="347"/>
      <c r="AT3">
        <v>0</v>
      </c>
      <c r="AU3">
        <v>0</v>
      </c>
      <c r="AV3">
        <f>$V$4+AT3</f>
        <v>1</v>
      </c>
      <c r="AW3" s="72">
        <f>$AQ$4+AU3</f>
        <v>1</v>
      </c>
      <c r="BG3" s="148"/>
      <c r="BI3" s="147"/>
      <c r="BJ3" s="346" t="str">
        <f>"samenvatting "&amp;BI46</f>
        <v>samenvatting flexabo 120</v>
      </c>
      <c r="BK3" s="347"/>
      <c r="BN3">
        <v>0</v>
      </c>
      <c r="BO3">
        <v>0</v>
      </c>
      <c r="BP3">
        <f>$V$4+BN3</f>
        <v>1</v>
      </c>
      <c r="BQ3" s="72">
        <f>$W$4+BO3</f>
        <v>10.3</v>
      </c>
      <c r="CA3" s="148"/>
    </row>
    <row r="4" spans="1:79">
      <c r="A4" s="124"/>
      <c r="B4">
        <f>B48</f>
        <v>1</v>
      </c>
      <c r="C4" s="72">
        <f>B47</f>
        <v>10.5</v>
      </c>
      <c r="F4">
        <v>0.1</v>
      </c>
      <c r="G4" s="72">
        <f t="shared" ref="G4:G12" si="0">$E$5/10*(H4-INT(H4))*10</f>
        <v>0.66666666666666741</v>
      </c>
      <c r="H4" s="72">
        <v>1.1000000000000001</v>
      </c>
      <c r="I4" s="72">
        <f>$C$4+G4</f>
        <v>11.166666666666668</v>
      </c>
      <c r="S4" s="125"/>
      <c r="U4" s="147"/>
      <c r="V4" s="11">
        <f>V48</f>
        <v>1</v>
      </c>
      <c r="W4" s="111">
        <f>V47</f>
        <v>10.3</v>
      </c>
      <c r="Z4">
        <v>0.1</v>
      </c>
      <c r="AA4" s="72">
        <f t="shared" ref="AA4:AA12" si="1">$Y$5/10*Z4*10</f>
        <v>1.9999999999999928E-2</v>
      </c>
      <c r="AB4">
        <f t="shared" ref="AB4:AB12" si="2">$V$4+Z4</f>
        <v>1.1000000000000001</v>
      </c>
      <c r="AC4" s="72">
        <f t="shared" ref="AC4:AC12" si="3">$W$4+AA4</f>
        <v>10.32</v>
      </c>
      <c r="AM4" s="148"/>
      <c r="AO4" s="147"/>
      <c r="AP4" s="11">
        <f>AP48</f>
        <v>1</v>
      </c>
      <c r="AQ4" s="111">
        <f>AP47</f>
        <v>1</v>
      </c>
      <c r="AT4">
        <v>0.1</v>
      </c>
      <c r="AU4" s="72">
        <f>$AS$5/10*AT4*10</f>
        <v>3.0000000000000009E-2</v>
      </c>
      <c r="AV4">
        <f t="shared" ref="AV4:AV12" si="4">$V$4+AT4</f>
        <v>1.1000000000000001</v>
      </c>
      <c r="AW4" s="72">
        <f>$AQ$4+AU4</f>
        <v>1.03</v>
      </c>
      <c r="BG4" s="148"/>
      <c r="BI4" s="147"/>
      <c r="BJ4" s="11">
        <f>BJ48</f>
        <v>1</v>
      </c>
      <c r="BK4" s="111" t="e">
        <f>BJ47</f>
        <v>#REF!</v>
      </c>
      <c r="BN4">
        <v>0.1</v>
      </c>
      <c r="BO4" s="72">
        <f t="shared" ref="BO4:BO12" si="5">$Y$5/10*BN4*10</f>
        <v>1.9999999999999928E-2</v>
      </c>
      <c r="BP4">
        <f t="shared" ref="BP4:BP12" si="6">$V$4+BN4</f>
        <v>1.1000000000000001</v>
      </c>
      <c r="BQ4" s="72">
        <f t="shared" ref="BQ4:BQ12" si="7">$W$4+BO4</f>
        <v>10.32</v>
      </c>
      <c r="CA4" s="148"/>
    </row>
    <row r="5" spans="1:79">
      <c r="A5" s="124"/>
      <c r="B5">
        <f>F48</f>
        <v>2</v>
      </c>
      <c r="C5" s="72">
        <f>F47</f>
        <v>17.166666666666668</v>
      </c>
      <c r="E5" s="72">
        <f>C5-C4</f>
        <v>6.6666666666666679</v>
      </c>
      <c r="F5">
        <v>0.2</v>
      </c>
      <c r="G5" s="72">
        <f t="shared" si="0"/>
        <v>1.3333333333333333</v>
      </c>
      <c r="H5" s="72">
        <v>1.2</v>
      </c>
      <c r="I5" s="72">
        <f t="shared" ref="I5:I12" si="8">$C$4+G5</f>
        <v>11.833333333333334</v>
      </c>
      <c r="S5" s="125"/>
      <c r="U5" s="147"/>
      <c r="V5" s="11">
        <f>Z48</f>
        <v>2</v>
      </c>
      <c r="W5" s="111">
        <f>Z47</f>
        <v>10.5</v>
      </c>
      <c r="Y5" s="72">
        <f>W5-W4</f>
        <v>0.19999999999999929</v>
      </c>
      <c r="Z5">
        <v>0.2</v>
      </c>
      <c r="AA5" s="72">
        <f t="shared" si="1"/>
        <v>3.9999999999999855E-2</v>
      </c>
      <c r="AB5">
        <f t="shared" si="2"/>
        <v>1.2</v>
      </c>
      <c r="AC5" s="72">
        <f t="shared" si="3"/>
        <v>10.34</v>
      </c>
      <c r="AM5" s="148"/>
      <c r="AO5" s="147"/>
      <c r="AP5" s="11">
        <f>AT48</f>
        <v>2</v>
      </c>
      <c r="AQ5" s="111">
        <f>AT47</f>
        <v>1.3</v>
      </c>
      <c r="AS5" s="72">
        <f>AQ5-AQ4</f>
        <v>0.30000000000000004</v>
      </c>
      <c r="AT5">
        <v>0.2</v>
      </c>
      <c r="AU5" s="72">
        <f t="shared" ref="AU5:AU12" si="9">$AS$5/10*AT5*10</f>
        <v>6.0000000000000019E-2</v>
      </c>
      <c r="AV5">
        <f t="shared" si="4"/>
        <v>1.2</v>
      </c>
      <c r="AW5" s="72">
        <f t="shared" ref="AW5:AW12" si="10">$AQ$4+AU5</f>
        <v>1.06</v>
      </c>
      <c r="BG5" s="148"/>
      <c r="BI5" s="147"/>
      <c r="BJ5" s="11">
        <f>BN48</f>
        <v>2</v>
      </c>
      <c r="BK5" s="111">
        <f>BN47</f>
        <v>0</v>
      </c>
      <c r="BM5" s="72" t="e">
        <f>BK5-BK4</f>
        <v>#REF!</v>
      </c>
      <c r="BN5">
        <v>0.2</v>
      </c>
      <c r="BO5" s="72">
        <f t="shared" si="5"/>
        <v>3.9999999999999855E-2</v>
      </c>
      <c r="BP5">
        <f t="shared" si="6"/>
        <v>1.2</v>
      </c>
      <c r="BQ5" s="72">
        <f t="shared" si="7"/>
        <v>10.34</v>
      </c>
      <c r="CA5" s="148"/>
    </row>
    <row r="6" spans="1:79">
      <c r="A6" s="124"/>
      <c r="B6">
        <f>J48</f>
        <v>3</v>
      </c>
      <c r="C6" s="72">
        <f>J47</f>
        <v>25.666666666666664</v>
      </c>
      <c r="E6" s="72">
        <f>C6-C5</f>
        <v>8.4999999999999964</v>
      </c>
      <c r="F6">
        <v>0.3</v>
      </c>
      <c r="G6" s="72">
        <f t="shared" si="0"/>
        <v>2.0000000000000004</v>
      </c>
      <c r="H6" s="72">
        <v>1.3</v>
      </c>
      <c r="I6" s="72">
        <f t="shared" si="8"/>
        <v>12.5</v>
      </c>
      <c r="S6" s="125"/>
      <c r="U6" s="147"/>
      <c r="V6" s="11">
        <f>AD48</f>
        <v>3</v>
      </c>
      <c r="W6" s="111">
        <f>AD47</f>
        <v>15.4</v>
      </c>
      <c r="Y6" s="72">
        <f>W6-W5</f>
        <v>4.9000000000000004</v>
      </c>
      <c r="Z6">
        <v>0.3</v>
      </c>
      <c r="AA6" s="72">
        <f t="shared" si="1"/>
        <v>5.9999999999999783E-2</v>
      </c>
      <c r="AB6">
        <f t="shared" si="2"/>
        <v>1.3</v>
      </c>
      <c r="AC6" s="72">
        <f t="shared" si="3"/>
        <v>10.360000000000001</v>
      </c>
      <c r="AM6" s="148"/>
      <c r="AO6" s="147"/>
      <c r="AP6" s="11">
        <f>AX48</f>
        <v>3</v>
      </c>
      <c r="AQ6" s="111">
        <f>AX47</f>
        <v>2</v>
      </c>
      <c r="AS6" s="72">
        <f>AQ6-AQ5</f>
        <v>0.7</v>
      </c>
      <c r="AT6">
        <v>0.3</v>
      </c>
      <c r="AU6" s="72">
        <f t="shared" si="9"/>
        <v>9.0000000000000011E-2</v>
      </c>
      <c r="AV6">
        <f t="shared" si="4"/>
        <v>1.3</v>
      </c>
      <c r="AW6" s="72">
        <f t="shared" si="10"/>
        <v>1.0900000000000001</v>
      </c>
      <c r="BG6" s="148"/>
      <c r="BI6" s="147"/>
      <c r="BJ6" s="11">
        <f>BR48</f>
        <v>3</v>
      </c>
      <c r="BK6" s="111">
        <f>BR47</f>
        <v>0</v>
      </c>
      <c r="BM6" s="72">
        <f>BK6-BK5</f>
        <v>0</v>
      </c>
      <c r="BN6">
        <v>0.3</v>
      </c>
      <c r="BO6" s="72">
        <f t="shared" si="5"/>
        <v>5.9999999999999783E-2</v>
      </c>
      <c r="BP6">
        <f t="shared" si="6"/>
        <v>1.3</v>
      </c>
      <c r="BQ6" s="72">
        <f t="shared" si="7"/>
        <v>10.360000000000001</v>
      </c>
      <c r="CA6" s="148"/>
    </row>
    <row r="7" spans="1:79">
      <c r="A7" s="124"/>
      <c r="B7">
        <f>O48</f>
        <v>4</v>
      </c>
      <c r="C7" s="72">
        <f>O47</f>
        <v>33.833333333333329</v>
      </c>
      <c r="E7" s="72">
        <f>C7-C6</f>
        <v>8.1666666666666643</v>
      </c>
      <c r="F7">
        <v>0.4</v>
      </c>
      <c r="G7" s="72">
        <f t="shared" si="0"/>
        <v>2.6666666666666665</v>
      </c>
      <c r="H7" s="72">
        <v>1.4</v>
      </c>
      <c r="I7" s="72">
        <f t="shared" si="8"/>
        <v>13.166666666666666</v>
      </c>
      <c r="S7" s="125"/>
      <c r="U7" s="147"/>
      <c r="V7" s="11">
        <f>AH48</f>
        <v>4</v>
      </c>
      <c r="W7" s="111">
        <f>AH47</f>
        <v>20.5</v>
      </c>
      <c r="Y7" s="72">
        <f>W7-W6</f>
        <v>5.0999999999999996</v>
      </c>
      <c r="Z7">
        <v>0.4</v>
      </c>
      <c r="AA7" s="72">
        <f t="shared" si="1"/>
        <v>7.999999999999971E-2</v>
      </c>
      <c r="AB7">
        <f t="shared" si="2"/>
        <v>1.4</v>
      </c>
      <c r="AC7" s="72">
        <f t="shared" si="3"/>
        <v>10.38</v>
      </c>
      <c r="AM7" s="148"/>
      <c r="AO7" s="147"/>
      <c r="AP7" s="11">
        <f>BB48</f>
        <v>4</v>
      </c>
      <c r="AQ7" s="111">
        <f>BB47</f>
        <v>2.6</v>
      </c>
      <c r="AS7" s="72">
        <f>AQ7-AQ6</f>
        <v>0.60000000000000009</v>
      </c>
      <c r="AT7">
        <v>0.4</v>
      </c>
      <c r="AU7" s="72">
        <f t="shared" si="9"/>
        <v>0.12000000000000004</v>
      </c>
      <c r="AV7">
        <f t="shared" si="4"/>
        <v>1.4</v>
      </c>
      <c r="AW7" s="72">
        <f t="shared" si="10"/>
        <v>1.1200000000000001</v>
      </c>
      <c r="BG7" s="148"/>
      <c r="BI7" s="147"/>
      <c r="BJ7" s="11">
        <f>BV48</f>
        <v>4</v>
      </c>
      <c r="BK7" s="111">
        <f>BV47</f>
        <v>0</v>
      </c>
      <c r="BM7" s="72">
        <f>BK7-BK6</f>
        <v>0</v>
      </c>
      <c r="BN7">
        <v>0.4</v>
      </c>
      <c r="BO7" s="72">
        <f t="shared" si="5"/>
        <v>7.999999999999971E-2</v>
      </c>
      <c r="BP7">
        <f t="shared" si="6"/>
        <v>1.4</v>
      </c>
      <c r="BQ7" s="72">
        <f t="shared" si="7"/>
        <v>10.38</v>
      </c>
      <c r="CA7" s="148"/>
    </row>
    <row r="8" spans="1:79">
      <c r="A8" s="124"/>
      <c r="B8">
        <f>R48</f>
        <v>5</v>
      </c>
      <c r="C8" s="72">
        <f>R47</f>
        <v>40.166666666666664</v>
      </c>
      <c r="E8" s="72">
        <f>C8-C7</f>
        <v>6.3333333333333357</v>
      </c>
      <c r="F8">
        <v>0.5</v>
      </c>
      <c r="G8" s="72">
        <f t="shared" si="0"/>
        <v>3.3333333333333339</v>
      </c>
      <c r="H8" s="72">
        <v>1.5</v>
      </c>
      <c r="I8" s="72">
        <f t="shared" si="8"/>
        <v>13.833333333333334</v>
      </c>
      <c r="S8" s="125"/>
      <c r="U8" s="147"/>
      <c r="V8" s="11">
        <f>AL48</f>
        <v>5</v>
      </c>
      <c r="W8" s="111">
        <f>AL47</f>
        <v>24.9</v>
      </c>
      <c r="Y8" s="72">
        <f>W8-W7</f>
        <v>4.3999999999999986</v>
      </c>
      <c r="Z8">
        <v>0.5</v>
      </c>
      <c r="AA8" s="72">
        <f t="shared" si="1"/>
        <v>9.9999999999999645E-2</v>
      </c>
      <c r="AB8">
        <f t="shared" si="2"/>
        <v>1.5</v>
      </c>
      <c r="AC8" s="72">
        <f t="shared" si="3"/>
        <v>10.4</v>
      </c>
      <c r="AM8" s="148"/>
      <c r="AO8" s="147"/>
      <c r="AP8" s="11">
        <f>BF48</f>
        <v>5</v>
      </c>
      <c r="AQ8" s="111">
        <f>BF47</f>
        <v>3.1</v>
      </c>
      <c r="AS8" s="72">
        <f>AQ8-AQ7</f>
        <v>0.5</v>
      </c>
      <c r="AT8">
        <v>0.5</v>
      </c>
      <c r="AU8" s="72">
        <f t="shared" si="9"/>
        <v>0.15000000000000002</v>
      </c>
      <c r="AV8">
        <f t="shared" si="4"/>
        <v>1.5</v>
      </c>
      <c r="AW8" s="72">
        <f t="shared" si="10"/>
        <v>1.1499999999999999</v>
      </c>
      <c r="BG8" s="148"/>
      <c r="BI8" s="147"/>
      <c r="BJ8" s="11">
        <f>BZ48</f>
        <v>5</v>
      </c>
      <c r="BK8" s="111">
        <f>BZ47</f>
        <v>0</v>
      </c>
      <c r="BM8" s="72">
        <f>BK8-BK7</f>
        <v>0</v>
      </c>
      <c r="BN8">
        <v>0.5</v>
      </c>
      <c r="BO8" s="72">
        <f t="shared" si="5"/>
        <v>9.9999999999999645E-2</v>
      </c>
      <c r="BP8">
        <f t="shared" si="6"/>
        <v>1.5</v>
      </c>
      <c r="BQ8" s="72">
        <f t="shared" si="7"/>
        <v>10.4</v>
      </c>
      <c r="CA8" s="148"/>
    </row>
    <row r="9" spans="1:79">
      <c r="A9" s="124"/>
      <c r="F9">
        <v>0.6</v>
      </c>
      <c r="G9" s="72">
        <f t="shared" si="0"/>
        <v>4.0000000000000009</v>
      </c>
      <c r="H9" s="72">
        <v>1.6</v>
      </c>
      <c r="I9" s="72">
        <f t="shared" si="8"/>
        <v>14.5</v>
      </c>
      <c r="S9" s="125"/>
      <c r="U9" s="147"/>
      <c r="Z9">
        <v>0.6</v>
      </c>
      <c r="AA9" s="72">
        <f t="shared" si="1"/>
        <v>0.11999999999999957</v>
      </c>
      <c r="AB9">
        <f t="shared" si="2"/>
        <v>1.6</v>
      </c>
      <c r="AC9" s="72">
        <f t="shared" si="3"/>
        <v>10.42</v>
      </c>
      <c r="AM9" s="148"/>
      <c r="AO9" s="147"/>
      <c r="AT9">
        <v>0.6</v>
      </c>
      <c r="AU9" s="72">
        <f t="shared" si="9"/>
        <v>0.18000000000000002</v>
      </c>
      <c r="AV9">
        <f t="shared" si="4"/>
        <v>1.6</v>
      </c>
      <c r="AW9" s="72">
        <f t="shared" si="10"/>
        <v>1.18</v>
      </c>
      <c r="BG9" s="148"/>
      <c r="BI9" s="147"/>
      <c r="BN9">
        <v>0.6</v>
      </c>
      <c r="BO9" s="72">
        <f t="shared" si="5"/>
        <v>0.11999999999999957</v>
      </c>
      <c r="BP9">
        <f t="shared" si="6"/>
        <v>1.6</v>
      </c>
      <c r="BQ9" s="72">
        <f t="shared" si="7"/>
        <v>10.42</v>
      </c>
      <c r="CA9" s="148"/>
    </row>
    <row r="10" spans="1:79">
      <c r="A10" s="124"/>
      <c r="F10">
        <v>0.7</v>
      </c>
      <c r="G10" s="72">
        <f t="shared" si="0"/>
        <v>4.666666666666667</v>
      </c>
      <c r="H10" s="72">
        <v>1.7</v>
      </c>
      <c r="I10" s="72">
        <f t="shared" si="8"/>
        <v>15.166666666666668</v>
      </c>
      <c r="S10" s="125"/>
      <c r="U10" s="147"/>
      <c r="Z10">
        <v>0.7</v>
      </c>
      <c r="AA10" s="72">
        <f t="shared" si="1"/>
        <v>0.13999999999999949</v>
      </c>
      <c r="AB10">
        <f t="shared" si="2"/>
        <v>1.7</v>
      </c>
      <c r="AC10" s="72">
        <f t="shared" si="3"/>
        <v>10.44</v>
      </c>
      <c r="AM10" s="148"/>
      <c r="AO10" s="147"/>
      <c r="AT10">
        <v>0.7</v>
      </c>
      <c r="AU10" s="72">
        <f t="shared" si="9"/>
        <v>0.21000000000000002</v>
      </c>
      <c r="AV10">
        <f t="shared" si="4"/>
        <v>1.7</v>
      </c>
      <c r="AW10" s="72">
        <f t="shared" si="10"/>
        <v>1.21</v>
      </c>
      <c r="BG10" s="148"/>
      <c r="BI10" s="147"/>
      <c r="BN10">
        <v>0.7</v>
      </c>
      <c r="BO10" s="72">
        <f t="shared" si="5"/>
        <v>0.13999999999999949</v>
      </c>
      <c r="BP10">
        <f t="shared" si="6"/>
        <v>1.7</v>
      </c>
      <c r="BQ10" s="72">
        <f t="shared" si="7"/>
        <v>10.44</v>
      </c>
      <c r="CA10" s="148"/>
    </row>
    <row r="11" spans="1:79">
      <c r="A11" s="124"/>
      <c r="F11">
        <v>0.8</v>
      </c>
      <c r="G11" s="72">
        <f t="shared" si="0"/>
        <v>5.3333333333333339</v>
      </c>
      <c r="H11" s="72">
        <v>1.8</v>
      </c>
      <c r="I11" s="72">
        <f t="shared" si="8"/>
        <v>15.833333333333334</v>
      </c>
      <c r="S11" s="125"/>
      <c r="U11" s="147"/>
      <c r="Z11">
        <v>0.8</v>
      </c>
      <c r="AA11" s="72">
        <f t="shared" si="1"/>
        <v>0.15999999999999942</v>
      </c>
      <c r="AB11">
        <f t="shared" si="2"/>
        <v>1.8</v>
      </c>
      <c r="AC11" s="72">
        <f t="shared" si="3"/>
        <v>10.46</v>
      </c>
      <c r="AM11" s="148"/>
      <c r="AO11" s="147"/>
      <c r="AT11">
        <v>0.8</v>
      </c>
      <c r="AU11" s="72">
        <f t="shared" si="9"/>
        <v>0.24000000000000007</v>
      </c>
      <c r="AV11">
        <f t="shared" si="4"/>
        <v>1.8</v>
      </c>
      <c r="AW11" s="72">
        <f t="shared" si="10"/>
        <v>1.24</v>
      </c>
      <c r="BG11" s="148"/>
      <c r="BI11" s="147"/>
      <c r="BN11">
        <v>0.8</v>
      </c>
      <c r="BO11" s="72">
        <f t="shared" si="5"/>
        <v>0.15999999999999942</v>
      </c>
      <c r="BP11">
        <f t="shared" si="6"/>
        <v>1.8</v>
      </c>
      <c r="BQ11" s="72">
        <f t="shared" si="7"/>
        <v>10.46</v>
      </c>
      <c r="CA11" s="148"/>
    </row>
    <row r="12" spans="1:79">
      <c r="A12" s="124"/>
      <c r="F12">
        <v>0.9</v>
      </c>
      <c r="G12" s="72">
        <f t="shared" si="0"/>
        <v>6</v>
      </c>
      <c r="H12" s="72">
        <v>1.9</v>
      </c>
      <c r="I12" s="72">
        <f t="shared" si="8"/>
        <v>16.5</v>
      </c>
      <c r="S12" s="125"/>
      <c r="U12" s="147"/>
      <c r="Z12">
        <v>0.9</v>
      </c>
      <c r="AA12" s="72">
        <f t="shared" si="1"/>
        <v>0.17999999999999935</v>
      </c>
      <c r="AB12">
        <f t="shared" si="2"/>
        <v>1.9</v>
      </c>
      <c r="AC12" s="72">
        <f t="shared" si="3"/>
        <v>10.48</v>
      </c>
      <c r="AM12" s="148"/>
      <c r="AO12" s="147"/>
      <c r="AT12">
        <v>0.9</v>
      </c>
      <c r="AU12" s="72">
        <f t="shared" si="9"/>
        <v>0.27000000000000007</v>
      </c>
      <c r="AV12">
        <f t="shared" si="4"/>
        <v>1.9</v>
      </c>
      <c r="AW12" s="72">
        <f t="shared" si="10"/>
        <v>1.27</v>
      </c>
      <c r="BG12" s="148"/>
      <c r="BI12" s="147"/>
      <c r="BN12">
        <v>0.9</v>
      </c>
      <c r="BO12" s="72">
        <f t="shared" si="5"/>
        <v>0.17999999999999935</v>
      </c>
      <c r="BP12">
        <f t="shared" si="6"/>
        <v>1.9</v>
      </c>
      <c r="BQ12" s="72">
        <f t="shared" si="7"/>
        <v>10.48</v>
      </c>
      <c r="CA12" s="148"/>
    </row>
    <row r="13" spans="1:79">
      <c r="A13" s="124"/>
      <c r="F13">
        <v>0</v>
      </c>
      <c r="G13" s="72">
        <v>0</v>
      </c>
      <c r="H13" s="72">
        <v>2</v>
      </c>
      <c r="I13" s="72">
        <f>G13+$C$5</f>
        <v>17.166666666666668</v>
      </c>
      <c r="N13" s="72"/>
      <c r="S13" s="125"/>
      <c r="U13" s="147"/>
      <c r="Z13">
        <v>0</v>
      </c>
      <c r="AA13">
        <v>0</v>
      </c>
      <c r="AB13">
        <f>$V$5+Z13</f>
        <v>2</v>
      </c>
      <c r="AC13" s="72">
        <f>$W$5+AA13</f>
        <v>10.5</v>
      </c>
      <c r="AM13" s="148"/>
      <c r="AO13" s="147"/>
      <c r="AT13">
        <v>0</v>
      </c>
      <c r="AU13">
        <v>0</v>
      </c>
      <c r="AV13">
        <f>$V$5+AT13</f>
        <v>2</v>
      </c>
      <c r="AW13" s="72">
        <f>$AQ$5+AU13</f>
        <v>1.3</v>
      </c>
      <c r="BG13" s="148"/>
      <c r="BI13" s="147"/>
      <c r="BN13">
        <v>0</v>
      </c>
      <c r="BO13">
        <v>0</v>
      </c>
      <c r="BP13">
        <f>$V$5+BN13</f>
        <v>2</v>
      </c>
      <c r="BQ13" s="72">
        <f>$W$5+BO13</f>
        <v>10.5</v>
      </c>
      <c r="CA13" s="148"/>
    </row>
    <row r="14" spans="1:79">
      <c r="A14" s="124"/>
      <c r="F14">
        <v>0.1</v>
      </c>
      <c r="G14" s="72">
        <f>$E$6/10*(H14-INT(H14))*10</f>
        <v>0.85000000000000031</v>
      </c>
      <c r="H14" s="72">
        <v>2.1</v>
      </c>
      <c r="I14" s="72">
        <f t="shared" ref="I14:I22" si="11">G14+$C$5</f>
        <v>18.016666666666669</v>
      </c>
      <c r="S14" s="125"/>
      <c r="U14" s="147"/>
      <c r="Z14">
        <v>0.1</v>
      </c>
      <c r="AA14" s="72">
        <f>$Y$6/10*Z14*10</f>
        <v>0.4900000000000001</v>
      </c>
      <c r="AB14">
        <f t="shared" ref="AB14:AB22" si="12">$V$5+Z14</f>
        <v>2.1</v>
      </c>
      <c r="AC14" s="72">
        <f>$W$5+AA14</f>
        <v>10.99</v>
      </c>
      <c r="AM14" s="148"/>
      <c r="AO14" s="147"/>
      <c r="AT14">
        <v>0.1</v>
      </c>
      <c r="AU14" s="72">
        <f>$AS$6/10*AT14*10</f>
        <v>6.9999999999999993E-2</v>
      </c>
      <c r="AV14">
        <f t="shared" ref="AV14:AV22" si="13">$V$5+AT14</f>
        <v>2.1</v>
      </c>
      <c r="AW14" s="72">
        <f>$AQ$5+AU14</f>
        <v>1.37</v>
      </c>
      <c r="BG14" s="148"/>
      <c r="BI14" s="147"/>
      <c r="BN14">
        <v>0.1</v>
      </c>
      <c r="BO14" s="72">
        <f>$Y$6/10*BN14*10</f>
        <v>0.4900000000000001</v>
      </c>
      <c r="BP14">
        <f t="shared" ref="BP14:BP22" si="14">$V$5+BN14</f>
        <v>2.1</v>
      </c>
      <c r="BQ14" s="72">
        <f>$W$5+BO14</f>
        <v>10.99</v>
      </c>
      <c r="CA14" s="148"/>
    </row>
    <row r="15" spans="1:79">
      <c r="A15" s="124"/>
      <c r="F15">
        <v>0.2</v>
      </c>
      <c r="G15" s="72">
        <f t="shared" ref="G15:G21" si="15">$E$6/10*(H15-INT(H15))*10</f>
        <v>1.7000000000000006</v>
      </c>
      <c r="H15" s="72">
        <v>2.2000000000000002</v>
      </c>
      <c r="I15" s="72">
        <f t="shared" si="11"/>
        <v>18.866666666666667</v>
      </c>
      <c r="S15" s="125"/>
      <c r="U15" s="147"/>
      <c r="Z15">
        <v>0.2</v>
      </c>
      <c r="AA15" s="72">
        <f>$Y$6/10*Z15*10</f>
        <v>0.9800000000000002</v>
      </c>
      <c r="AB15">
        <f t="shared" si="12"/>
        <v>2.2000000000000002</v>
      </c>
      <c r="AC15" s="72">
        <f t="shared" ref="AC15:AC22" si="16">$W$5+AA15</f>
        <v>11.48</v>
      </c>
      <c r="AM15" s="148"/>
      <c r="AO15" s="147"/>
      <c r="AT15">
        <v>0.2</v>
      </c>
      <c r="AU15" s="72">
        <f t="shared" ref="AU15:AU22" si="17">$AS$6/10*AT15*10</f>
        <v>0.13999999999999999</v>
      </c>
      <c r="AV15">
        <f t="shared" si="13"/>
        <v>2.2000000000000002</v>
      </c>
      <c r="AW15" s="72">
        <f t="shared" ref="AW15:AW22" si="18">$AQ$5+AU15</f>
        <v>1.44</v>
      </c>
      <c r="BG15" s="148"/>
      <c r="BI15" s="147"/>
      <c r="BN15">
        <v>0.2</v>
      </c>
      <c r="BO15" s="72">
        <f>$Y$6/10*BN15*10</f>
        <v>0.9800000000000002</v>
      </c>
      <c r="BP15">
        <f t="shared" si="14"/>
        <v>2.2000000000000002</v>
      </c>
      <c r="BQ15" s="72">
        <f t="shared" ref="BQ15:BQ22" si="19">$W$5+BO15</f>
        <v>11.48</v>
      </c>
      <c r="CA15" s="148"/>
    </row>
    <row r="16" spans="1:79">
      <c r="A16" s="124"/>
      <c r="F16">
        <v>0.3</v>
      </c>
      <c r="G16" s="72">
        <f t="shared" si="15"/>
        <v>2.5499999999999972</v>
      </c>
      <c r="H16" s="72">
        <v>2.2999999999999998</v>
      </c>
      <c r="I16" s="72">
        <f t="shared" si="11"/>
        <v>19.716666666666665</v>
      </c>
      <c r="S16" s="125"/>
      <c r="U16" s="147"/>
      <c r="Z16">
        <v>0.3</v>
      </c>
      <c r="AA16" s="72">
        <f t="shared" ref="AA16:AA22" si="20">$Y$6/10*Z16*10</f>
        <v>1.4700000000000002</v>
      </c>
      <c r="AB16">
        <f t="shared" si="12"/>
        <v>2.2999999999999998</v>
      </c>
      <c r="AC16" s="72">
        <f t="shared" si="16"/>
        <v>11.97</v>
      </c>
      <c r="AM16" s="148"/>
      <c r="AO16" s="147"/>
      <c r="AT16">
        <v>0.3</v>
      </c>
      <c r="AU16" s="72">
        <f t="shared" si="17"/>
        <v>0.20999999999999996</v>
      </c>
      <c r="AV16">
        <f t="shared" si="13"/>
        <v>2.2999999999999998</v>
      </c>
      <c r="AW16" s="72">
        <f t="shared" si="18"/>
        <v>1.51</v>
      </c>
      <c r="BG16" s="148"/>
      <c r="BI16" s="147"/>
      <c r="BN16">
        <v>0.3</v>
      </c>
      <c r="BO16" s="72">
        <f t="shared" ref="BO16:BO22" si="21">$Y$6/10*BN16*10</f>
        <v>1.4700000000000002</v>
      </c>
      <c r="BP16">
        <f t="shared" si="14"/>
        <v>2.2999999999999998</v>
      </c>
      <c r="BQ16" s="72">
        <f t="shared" si="19"/>
        <v>11.97</v>
      </c>
      <c r="CA16" s="148"/>
    </row>
    <row r="17" spans="1:79">
      <c r="A17" s="124"/>
      <c r="F17">
        <v>0.4</v>
      </c>
      <c r="G17" s="72">
        <f t="shared" si="15"/>
        <v>3.3999999999999981</v>
      </c>
      <c r="H17" s="72">
        <v>2.4</v>
      </c>
      <c r="I17" s="72">
        <f t="shared" si="11"/>
        <v>20.566666666666666</v>
      </c>
      <c r="S17" s="125"/>
      <c r="U17" s="147"/>
      <c r="Z17">
        <v>0.4</v>
      </c>
      <c r="AA17" s="72">
        <f t="shared" si="20"/>
        <v>1.9600000000000004</v>
      </c>
      <c r="AB17">
        <f t="shared" si="12"/>
        <v>2.4</v>
      </c>
      <c r="AC17" s="72">
        <f t="shared" si="16"/>
        <v>12.46</v>
      </c>
      <c r="AM17" s="148"/>
      <c r="AO17" s="147"/>
      <c r="AT17">
        <v>0.4</v>
      </c>
      <c r="AU17" s="72">
        <f t="shared" si="17"/>
        <v>0.27999999999999997</v>
      </c>
      <c r="AV17">
        <f t="shared" si="13"/>
        <v>2.4</v>
      </c>
      <c r="AW17" s="72">
        <f t="shared" si="18"/>
        <v>1.58</v>
      </c>
      <c r="BG17" s="148"/>
      <c r="BI17" s="147"/>
      <c r="BN17">
        <v>0.4</v>
      </c>
      <c r="BO17" s="72">
        <f t="shared" si="21"/>
        <v>1.9600000000000004</v>
      </c>
      <c r="BP17">
        <f t="shared" si="14"/>
        <v>2.4</v>
      </c>
      <c r="BQ17" s="72">
        <f t="shared" si="19"/>
        <v>12.46</v>
      </c>
      <c r="CA17" s="148"/>
    </row>
    <row r="18" spans="1:79">
      <c r="A18" s="124"/>
      <c r="F18">
        <v>0.5</v>
      </c>
      <c r="G18" s="72">
        <f t="shared" si="15"/>
        <v>4.2499999999999982</v>
      </c>
      <c r="H18" s="72">
        <v>2.5</v>
      </c>
      <c r="I18" s="72">
        <f t="shared" si="11"/>
        <v>21.416666666666664</v>
      </c>
      <c r="S18" s="125"/>
      <c r="U18" s="147"/>
      <c r="Z18">
        <v>0.5</v>
      </c>
      <c r="AA18" s="72">
        <f t="shared" si="20"/>
        <v>2.4500000000000002</v>
      </c>
      <c r="AB18">
        <f t="shared" si="12"/>
        <v>2.5</v>
      </c>
      <c r="AC18" s="72">
        <f t="shared" si="16"/>
        <v>12.95</v>
      </c>
      <c r="AM18" s="148"/>
      <c r="AO18" s="147"/>
      <c r="AT18">
        <v>0.5</v>
      </c>
      <c r="AU18" s="72">
        <f t="shared" si="17"/>
        <v>0.35</v>
      </c>
      <c r="AV18">
        <f t="shared" si="13"/>
        <v>2.5</v>
      </c>
      <c r="AW18" s="72">
        <f t="shared" si="18"/>
        <v>1.65</v>
      </c>
      <c r="BG18" s="148"/>
      <c r="BI18" s="147"/>
      <c r="BN18">
        <v>0.5</v>
      </c>
      <c r="BO18" s="72">
        <f t="shared" si="21"/>
        <v>2.4500000000000002</v>
      </c>
      <c r="BP18">
        <f t="shared" si="14"/>
        <v>2.5</v>
      </c>
      <c r="BQ18" s="72">
        <f t="shared" si="19"/>
        <v>12.95</v>
      </c>
      <c r="CA18" s="148"/>
    </row>
    <row r="19" spans="1:79">
      <c r="A19" s="124"/>
      <c r="F19">
        <v>0.6</v>
      </c>
      <c r="G19" s="72">
        <f t="shared" si="15"/>
        <v>5.0999999999999988</v>
      </c>
      <c r="H19" s="72">
        <v>2.6</v>
      </c>
      <c r="I19" s="72">
        <f t="shared" si="11"/>
        <v>22.266666666666666</v>
      </c>
      <c r="S19" s="125"/>
      <c r="U19" s="147"/>
      <c r="Z19">
        <v>0.6</v>
      </c>
      <c r="AA19" s="72">
        <f t="shared" si="20"/>
        <v>2.9400000000000004</v>
      </c>
      <c r="AB19">
        <f t="shared" si="12"/>
        <v>2.6</v>
      </c>
      <c r="AC19" s="72">
        <f t="shared" si="16"/>
        <v>13.440000000000001</v>
      </c>
      <c r="AM19" s="148"/>
      <c r="AO19" s="147"/>
      <c r="AT19">
        <v>0.6</v>
      </c>
      <c r="AU19" s="72">
        <f t="shared" si="17"/>
        <v>0.41999999999999993</v>
      </c>
      <c r="AV19">
        <f t="shared" si="13"/>
        <v>2.6</v>
      </c>
      <c r="AW19" s="72">
        <f t="shared" si="18"/>
        <v>1.72</v>
      </c>
      <c r="BG19" s="148"/>
      <c r="BI19" s="147"/>
      <c r="BN19">
        <v>0.6</v>
      </c>
      <c r="BO19" s="72">
        <f t="shared" si="21"/>
        <v>2.9400000000000004</v>
      </c>
      <c r="BP19">
        <f t="shared" si="14"/>
        <v>2.6</v>
      </c>
      <c r="BQ19" s="72">
        <f t="shared" si="19"/>
        <v>13.440000000000001</v>
      </c>
      <c r="CA19" s="148"/>
    </row>
    <row r="20" spans="1:79">
      <c r="A20" s="124"/>
      <c r="F20">
        <v>0.7</v>
      </c>
      <c r="G20" s="72">
        <f t="shared" si="15"/>
        <v>5.9499999999999984</v>
      </c>
      <c r="H20" s="72">
        <v>2.7</v>
      </c>
      <c r="I20" s="72">
        <f t="shared" si="11"/>
        <v>23.116666666666667</v>
      </c>
      <c r="S20" s="125"/>
      <c r="U20" s="147"/>
      <c r="Z20">
        <v>0.7</v>
      </c>
      <c r="AA20" s="72">
        <f t="shared" si="20"/>
        <v>3.43</v>
      </c>
      <c r="AB20">
        <f t="shared" si="12"/>
        <v>2.7</v>
      </c>
      <c r="AC20" s="72">
        <f t="shared" si="16"/>
        <v>13.93</v>
      </c>
      <c r="AM20" s="148"/>
      <c r="AO20" s="147"/>
      <c r="AT20">
        <v>0.7</v>
      </c>
      <c r="AU20" s="72">
        <f t="shared" si="17"/>
        <v>0.48999999999999994</v>
      </c>
      <c r="AV20">
        <f t="shared" si="13"/>
        <v>2.7</v>
      </c>
      <c r="AW20" s="72">
        <f t="shared" si="18"/>
        <v>1.79</v>
      </c>
      <c r="BG20" s="148"/>
      <c r="BI20" s="147"/>
      <c r="BN20">
        <v>0.7</v>
      </c>
      <c r="BO20" s="72">
        <f t="shared" si="21"/>
        <v>3.43</v>
      </c>
      <c r="BP20">
        <f t="shared" si="14"/>
        <v>2.7</v>
      </c>
      <c r="BQ20" s="72">
        <f t="shared" si="19"/>
        <v>13.93</v>
      </c>
      <c r="CA20" s="148"/>
    </row>
    <row r="21" spans="1:79">
      <c r="A21" s="124"/>
      <c r="F21">
        <v>0.8</v>
      </c>
      <c r="G21" s="72">
        <f t="shared" si="15"/>
        <v>6.7999999999999963</v>
      </c>
      <c r="H21" s="72">
        <v>2.8</v>
      </c>
      <c r="I21" s="72">
        <f t="shared" si="11"/>
        <v>23.966666666666665</v>
      </c>
      <c r="S21" s="125"/>
      <c r="U21" s="147"/>
      <c r="Z21">
        <v>0.8</v>
      </c>
      <c r="AA21" s="72">
        <f t="shared" si="20"/>
        <v>3.9200000000000008</v>
      </c>
      <c r="AB21">
        <f t="shared" si="12"/>
        <v>2.8</v>
      </c>
      <c r="AC21" s="72">
        <f t="shared" si="16"/>
        <v>14.420000000000002</v>
      </c>
      <c r="AM21" s="148"/>
      <c r="AO21" s="147"/>
      <c r="AT21">
        <v>0.8</v>
      </c>
      <c r="AU21" s="72">
        <f t="shared" si="17"/>
        <v>0.55999999999999994</v>
      </c>
      <c r="AV21">
        <f t="shared" si="13"/>
        <v>2.8</v>
      </c>
      <c r="AW21" s="72">
        <f t="shared" si="18"/>
        <v>1.8599999999999999</v>
      </c>
      <c r="BG21" s="148"/>
      <c r="BI21" s="147"/>
      <c r="BN21">
        <v>0.8</v>
      </c>
      <c r="BO21" s="72">
        <f t="shared" si="21"/>
        <v>3.9200000000000008</v>
      </c>
      <c r="BP21">
        <f t="shared" si="14"/>
        <v>2.8</v>
      </c>
      <c r="BQ21" s="72">
        <f t="shared" si="19"/>
        <v>14.420000000000002</v>
      </c>
      <c r="CA21" s="148"/>
    </row>
    <row r="22" spans="1:79">
      <c r="A22" s="124"/>
      <c r="F22">
        <v>0.9</v>
      </c>
      <c r="G22" s="72">
        <f>$E$6/10*(H22-INT(H22))*10</f>
        <v>7.6499999999999959</v>
      </c>
      <c r="H22" s="72">
        <v>2.9</v>
      </c>
      <c r="I22" s="72">
        <f t="shared" si="11"/>
        <v>24.816666666666663</v>
      </c>
      <c r="S22" s="125"/>
      <c r="U22" s="147"/>
      <c r="Z22">
        <v>0.9</v>
      </c>
      <c r="AA22" s="72">
        <f t="shared" si="20"/>
        <v>4.41</v>
      </c>
      <c r="AB22">
        <f t="shared" si="12"/>
        <v>2.9</v>
      </c>
      <c r="AC22" s="72">
        <f t="shared" si="16"/>
        <v>14.91</v>
      </c>
      <c r="AM22" s="148"/>
      <c r="AO22" s="147"/>
      <c r="AT22">
        <v>0.9</v>
      </c>
      <c r="AU22" s="72">
        <f t="shared" si="17"/>
        <v>0.63</v>
      </c>
      <c r="AV22">
        <f t="shared" si="13"/>
        <v>2.9</v>
      </c>
      <c r="AW22" s="72">
        <f t="shared" si="18"/>
        <v>1.9300000000000002</v>
      </c>
      <c r="BG22" s="148"/>
      <c r="BI22" s="147"/>
      <c r="BN22">
        <v>0.9</v>
      </c>
      <c r="BO22" s="72">
        <f t="shared" si="21"/>
        <v>4.41</v>
      </c>
      <c r="BP22">
        <f t="shared" si="14"/>
        <v>2.9</v>
      </c>
      <c r="BQ22" s="72">
        <f t="shared" si="19"/>
        <v>14.91</v>
      </c>
      <c r="CA22" s="148"/>
    </row>
    <row r="23" spans="1:79">
      <c r="A23" s="124"/>
      <c r="F23">
        <v>0</v>
      </c>
      <c r="G23">
        <v>0</v>
      </c>
      <c r="H23" s="72">
        <v>3</v>
      </c>
      <c r="I23" s="72">
        <f>G23+$C$6</f>
        <v>25.666666666666664</v>
      </c>
      <c r="S23" s="125"/>
      <c r="U23" s="147"/>
      <c r="Z23">
        <v>0</v>
      </c>
      <c r="AA23">
        <v>0</v>
      </c>
      <c r="AB23">
        <f>$V$6+Z23</f>
        <v>3</v>
      </c>
      <c r="AC23" s="72">
        <f>$W$6+AA23</f>
        <v>15.4</v>
      </c>
      <c r="AM23" s="148"/>
      <c r="AO23" s="147"/>
      <c r="AT23">
        <v>0</v>
      </c>
      <c r="AU23">
        <v>0</v>
      </c>
      <c r="AV23">
        <f>$V$6+AT23</f>
        <v>3</v>
      </c>
      <c r="AW23" s="72">
        <f>$AQ$6+AU23</f>
        <v>2</v>
      </c>
      <c r="BG23" s="148"/>
      <c r="BI23" s="147"/>
      <c r="BN23">
        <v>0</v>
      </c>
      <c r="BO23">
        <v>0</v>
      </c>
      <c r="BP23">
        <f>$V$6+BN23</f>
        <v>3</v>
      </c>
      <c r="BQ23" s="72">
        <f>$W$6+BO23</f>
        <v>15.4</v>
      </c>
      <c r="CA23" s="148"/>
    </row>
    <row r="24" spans="1:79">
      <c r="A24" s="124"/>
      <c r="F24">
        <v>0.1</v>
      </c>
      <c r="G24" s="72">
        <f>$E$7/10*(H24-INT(H24))*10</f>
        <v>0.81666666666666721</v>
      </c>
      <c r="H24" s="72">
        <v>3.1</v>
      </c>
      <c r="I24" s="72">
        <f>G24+$C$6</f>
        <v>26.483333333333331</v>
      </c>
      <c r="S24" s="125"/>
      <c r="U24" s="147"/>
      <c r="Z24">
        <v>0.1</v>
      </c>
      <c r="AA24" s="72">
        <f>$Y$7/10*Z24*10</f>
        <v>0.51</v>
      </c>
      <c r="AB24">
        <f t="shared" ref="AB24:AB32" si="22">$V$6+Z24</f>
        <v>3.1</v>
      </c>
      <c r="AC24" s="72">
        <f t="shared" ref="AC24:AC32" si="23">$W$6+AA24</f>
        <v>15.91</v>
      </c>
      <c r="AM24" s="148"/>
      <c r="AO24" s="147"/>
      <c r="AT24">
        <v>0.1</v>
      </c>
      <c r="AU24" s="72">
        <f>$AS$7/10*AT24*10</f>
        <v>6.0000000000000019E-2</v>
      </c>
      <c r="AV24">
        <f t="shared" ref="AV24:AV32" si="24">$V$6+AT24</f>
        <v>3.1</v>
      </c>
      <c r="AW24" s="72">
        <f t="shared" ref="AW24:AW32" si="25">$AQ$6+AU24</f>
        <v>2.06</v>
      </c>
      <c r="BG24" s="148"/>
      <c r="BI24" s="147"/>
      <c r="BN24">
        <v>0.1</v>
      </c>
      <c r="BO24" s="72">
        <f>$Y$7/10*BN24*10</f>
        <v>0.51</v>
      </c>
      <c r="BP24">
        <f t="shared" ref="BP24:BP32" si="26">$V$6+BN24</f>
        <v>3.1</v>
      </c>
      <c r="BQ24" s="72">
        <f t="shared" ref="BQ24:BQ32" si="27">$W$6+BO24</f>
        <v>15.91</v>
      </c>
      <c r="CA24" s="148"/>
    </row>
    <row r="25" spans="1:79">
      <c r="A25" s="124"/>
      <c r="F25">
        <v>0.2</v>
      </c>
      <c r="G25" s="72">
        <f t="shared" ref="G25:G31" si="28">$E$7/10*(H25-INT(H25))*10</f>
        <v>1.6333333333333344</v>
      </c>
      <c r="H25" s="72">
        <v>3.2</v>
      </c>
      <c r="I25" s="72">
        <f t="shared" ref="I25:I31" si="29">G25+$C$6</f>
        <v>27.299999999999997</v>
      </c>
      <c r="S25" s="125"/>
      <c r="U25" s="147"/>
      <c r="Z25">
        <v>0.2</v>
      </c>
      <c r="AA25" s="72">
        <f t="shared" ref="AA25:AA32" si="30">$Y$7/10*Z25*10</f>
        <v>1.02</v>
      </c>
      <c r="AB25">
        <f t="shared" si="22"/>
        <v>3.2</v>
      </c>
      <c r="AC25" s="72">
        <f t="shared" si="23"/>
        <v>16.420000000000002</v>
      </c>
      <c r="AM25" s="148"/>
      <c r="AO25" s="147"/>
      <c r="AT25">
        <v>0.2</v>
      </c>
      <c r="AU25" s="72">
        <f t="shared" ref="AU25:AU32" si="31">$AS$7/10*AT25*10</f>
        <v>0.12000000000000004</v>
      </c>
      <c r="AV25">
        <f t="shared" si="24"/>
        <v>3.2</v>
      </c>
      <c r="AW25" s="72">
        <f t="shared" si="25"/>
        <v>2.12</v>
      </c>
      <c r="BG25" s="148"/>
      <c r="BI25" s="147"/>
      <c r="BN25">
        <v>0.2</v>
      </c>
      <c r="BO25" s="72">
        <f t="shared" ref="BO25:BO32" si="32">$Y$7/10*BN25*10</f>
        <v>1.02</v>
      </c>
      <c r="BP25">
        <f t="shared" si="26"/>
        <v>3.2</v>
      </c>
      <c r="BQ25" s="72">
        <f t="shared" si="27"/>
        <v>16.420000000000002</v>
      </c>
      <c r="CA25" s="148"/>
    </row>
    <row r="26" spans="1:79">
      <c r="A26" s="124"/>
      <c r="F26">
        <v>0.3</v>
      </c>
      <c r="G26" s="72">
        <f t="shared" si="28"/>
        <v>2.4499999999999975</v>
      </c>
      <c r="H26" s="72">
        <v>3.3</v>
      </c>
      <c r="I26" s="72">
        <f t="shared" si="29"/>
        <v>28.11666666666666</v>
      </c>
      <c r="S26" s="125"/>
      <c r="U26" s="147"/>
      <c r="Z26">
        <v>0.3</v>
      </c>
      <c r="AA26" s="72">
        <f t="shared" si="30"/>
        <v>1.53</v>
      </c>
      <c r="AB26">
        <f t="shared" si="22"/>
        <v>3.3</v>
      </c>
      <c r="AC26" s="72">
        <f t="shared" si="23"/>
        <v>16.93</v>
      </c>
      <c r="AM26" s="148"/>
      <c r="AO26" s="147"/>
      <c r="AT26">
        <v>0.3</v>
      </c>
      <c r="AU26" s="72">
        <f t="shared" si="31"/>
        <v>0.18000000000000002</v>
      </c>
      <c r="AV26">
        <f t="shared" si="24"/>
        <v>3.3</v>
      </c>
      <c r="AW26" s="72">
        <f t="shared" si="25"/>
        <v>2.1800000000000002</v>
      </c>
      <c r="BG26" s="148"/>
      <c r="BI26" s="147"/>
      <c r="BN26">
        <v>0.3</v>
      </c>
      <c r="BO26" s="72">
        <f t="shared" si="32"/>
        <v>1.53</v>
      </c>
      <c r="BP26">
        <f t="shared" si="26"/>
        <v>3.3</v>
      </c>
      <c r="BQ26" s="72">
        <f t="shared" si="27"/>
        <v>16.93</v>
      </c>
      <c r="CA26" s="148"/>
    </row>
    <row r="27" spans="1:79">
      <c r="A27" s="124"/>
      <c r="F27">
        <v>0.4</v>
      </c>
      <c r="G27" s="72">
        <f t="shared" si="28"/>
        <v>3.2666666666666648</v>
      </c>
      <c r="H27" s="72">
        <v>3.4</v>
      </c>
      <c r="I27" s="72">
        <f t="shared" si="29"/>
        <v>28.93333333333333</v>
      </c>
      <c r="S27" s="125"/>
      <c r="U27" s="147"/>
      <c r="Z27">
        <v>0.4</v>
      </c>
      <c r="AA27" s="72">
        <f t="shared" si="30"/>
        <v>2.04</v>
      </c>
      <c r="AB27">
        <f t="shared" si="22"/>
        <v>3.4</v>
      </c>
      <c r="AC27" s="72">
        <f t="shared" si="23"/>
        <v>17.440000000000001</v>
      </c>
      <c r="AM27" s="148"/>
      <c r="AO27" s="147"/>
      <c r="AT27">
        <v>0.4</v>
      </c>
      <c r="AU27" s="72">
        <f t="shared" si="31"/>
        <v>0.24000000000000007</v>
      </c>
      <c r="AV27">
        <f t="shared" si="24"/>
        <v>3.4</v>
      </c>
      <c r="AW27" s="72">
        <f t="shared" si="25"/>
        <v>2.2400000000000002</v>
      </c>
      <c r="BG27" s="148"/>
      <c r="BI27" s="147"/>
      <c r="BN27">
        <v>0.4</v>
      </c>
      <c r="BO27" s="72">
        <f t="shared" si="32"/>
        <v>2.04</v>
      </c>
      <c r="BP27">
        <f t="shared" si="26"/>
        <v>3.4</v>
      </c>
      <c r="BQ27" s="72">
        <f t="shared" si="27"/>
        <v>17.440000000000001</v>
      </c>
      <c r="CA27" s="148"/>
    </row>
    <row r="28" spans="1:79">
      <c r="A28" s="124"/>
      <c r="F28">
        <v>0.5</v>
      </c>
      <c r="G28" s="72">
        <f t="shared" si="28"/>
        <v>4.0833333333333321</v>
      </c>
      <c r="H28" s="72">
        <v>3.5</v>
      </c>
      <c r="I28" s="72">
        <f t="shared" si="29"/>
        <v>29.749999999999996</v>
      </c>
      <c r="K28" s="72"/>
      <c r="N28" s="72"/>
      <c r="S28" s="125"/>
      <c r="U28" s="147"/>
      <c r="Z28">
        <v>0.5</v>
      </c>
      <c r="AA28" s="72">
        <f t="shared" si="30"/>
        <v>2.5499999999999998</v>
      </c>
      <c r="AB28">
        <f t="shared" si="22"/>
        <v>3.5</v>
      </c>
      <c r="AC28" s="72">
        <f t="shared" si="23"/>
        <v>17.95</v>
      </c>
      <c r="AM28" s="148"/>
      <c r="AO28" s="147"/>
      <c r="AT28">
        <v>0.5</v>
      </c>
      <c r="AU28" s="72">
        <f t="shared" si="31"/>
        <v>0.30000000000000004</v>
      </c>
      <c r="AV28">
        <f t="shared" si="24"/>
        <v>3.5</v>
      </c>
      <c r="AW28" s="72">
        <f t="shared" si="25"/>
        <v>2.2999999999999998</v>
      </c>
      <c r="BG28" s="148"/>
      <c r="BI28" s="147"/>
      <c r="BN28">
        <v>0.5</v>
      </c>
      <c r="BO28" s="72">
        <f t="shared" si="32"/>
        <v>2.5499999999999998</v>
      </c>
      <c r="BP28">
        <f t="shared" si="26"/>
        <v>3.5</v>
      </c>
      <c r="BQ28" s="72">
        <f t="shared" si="27"/>
        <v>17.95</v>
      </c>
      <c r="CA28" s="148"/>
    </row>
    <row r="29" spans="1:79">
      <c r="A29" s="124"/>
      <c r="F29">
        <v>0.6</v>
      </c>
      <c r="G29" s="72">
        <f t="shared" si="28"/>
        <v>4.8999999999999995</v>
      </c>
      <c r="H29" s="72">
        <v>3.6</v>
      </c>
      <c r="I29" s="72">
        <f t="shared" si="29"/>
        <v>30.566666666666663</v>
      </c>
      <c r="K29" s="72"/>
      <c r="N29" s="72"/>
      <c r="S29" s="125"/>
      <c r="U29" s="147"/>
      <c r="Z29">
        <v>0.6</v>
      </c>
      <c r="AA29" s="72">
        <f t="shared" si="30"/>
        <v>3.06</v>
      </c>
      <c r="AB29">
        <f t="shared" si="22"/>
        <v>3.6</v>
      </c>
      <c r="AC29" s="72">
        <f t="shared" si="23"/>
        <v>18.46</v>
      </c>
      <c r="AM29" s="148"/>
      <c r="AO29" s="147"/>
      <c r="AT29">
        <v>0.6</v>
      </c>
      <c r="AU29" s="72">
        <f t="shared" si="31"/>
        <v>0.36000000000000004</v>
      </c>
      <c r="AV29">
        <f t="shared" si="24"/>
        <v>3.6</v>
      </c>
      <c r="AW29" s="72">
        <f t="shared" si="25"/>
        <v>2.36</v>
      </c>
      <c r="BG29" s="148"/>
      <c r="BI29" s="147"/>
      <c r="BN29">
        <v>0.6</v>
      </c>
      <c r="BO29" s="72">
        <f t="shared" si="32"/>
        <v>3.06</v>
      </c>
      <c r="BP29">
        <f t="shared" si="26"/>
        <v>3.6</v>
      </c>
      <c r="BQ29" s="72">
        <f t="shared" si="27"/>
        <v>18.46</v>
      </c>
      <c r="CA29" s="148"/>
    </row>
    <row r="30" spans="1:79">
      <c r="A30" s="124"/>
      <c r="F30">
        <v>0.7</v>
      </c>
      <c r="G30" s="72">
        <f t="shared" si="28"/>
        <v>5.7166666666666668</v>
      </c>
      <c r="H30" s="72">
        <v>3.7</v>
      </c>
      <c r="I30" s="72">
        <f t="shared" si="29"/>
        <v>31.383333333333333</v>
      </c>
      <c r="K30" s="72"/>
      <c r="N30" s="72"/>
      <c r="S30" s="125"/>
      <c r="U30" s="147"/>
      <c r="Z30">
        <v>0.7</v>
      </c>
      <c r="AA30" s="72">
        <f t="shared" si="30"/>
        <v>3.57</v>
      </c>
      <c r="AB30">
        <f t="shared" si="22"/>
        <v>3.7</v>
      </c>
      <c r="AC30" s="72">
        <f t="shared" si="23"/>
        <v>18.97</v>
      </c>
      <c r="AM30" s="148"/>
      <c r="AO30" s="147"/>
      <c r="AT30">
        <v>0.7</v>
      </c>
      <c r="AU30" s="72">
        <f t="shared" si="31"/>
        <v>0.42000000000000004</v>
      </c>
      <c r="AV30">
        <f t="shared" si="24"/>
        <v>3.7</v>
      </c>
      <c r="AW30" s="72">
        <f t="shared" si="25"/>
        <v>2.42</v>
      </c>
      <c r="BG30" s="148"/>
      <c r="BI30" s="147"/>
      <c r="BN30">
        <v>0.7</v>
      </c>
      <c r="BO30" s="72">
        <f t="shared" si="32"/>
        <v>3.57</v>
      </c>
      <c r="BP30">
        <f t="shared" si="26"/>
        <v>3.7</v>
      </c>
      <c r="BQ30" s="72">
        <f t="shared" si="27"/>
        <v>18.97</v>
      </c>
      <c r="CA30" s="148"/>
    </row>
    <row r="31" spans="1:79">
      <c r="A31" s="124"/>
      <c r="F31">
        <v>0.8</v>
      </c>
      <c r="G31" s="72">
        <f t="shared" si="28"/>
        <v>6.5333333333333297</v>
      </c>
      <c r="H31" s="72">
        <v>3.8</v>
      </c>
      <c r="I31" s="72">
        <f t="shared" si="29"/>
        <v>32.199999999999996</v>
      </c>
      <c r="K31" s="72"/>
      <c r="N31" s="72"/>
      <c r="S31" s="125"/>
      <c r="U31" s="147"/>
      <c r="Z31">
        <v>0.8</v>
      </c>
      <c r="AA31" s="72">
        <f t="shared" si="30"/>
        <v>4.08</v>
      </c>
      <c r="AB31">
        <f t="shared" si="22"/>
        <v>3.8</v>
      </c>
      <c r="AC31" s="72">
        <f t="shared" si="23"/>
        <v>19.48</v>
      </c>
      <c r="AM31" s="148"/>
      <c r="AO31" s="147"/>
      <c r="AT31">
        <v>0.8</v>
      </c>
      <c r="AU31" s="72">
        <f t="shared" si="31"/>
        <v>0.48000000000000015</v>
      </c>
      <c r="AV31">
        <f t="shared" si="24"/>
        <v>3.8</v>
      </c>
      <c r="AW31" s="72">
        <f t="shared" si="25"/>
        <v>2.48</v>
      </c>
      <c r="BG31" s="148"/>
      <c r="BI31" s="147"/>
      <c r="BN31">
        <v>0.8</v>
      </c>
      <c r="BO31" s="72">
        <f t="shared" si="32"/>
        <v>4.08</v>
      </c>
      <c r="BP31">
        <f t="shared" si="26"/>
        <v>3.8</v>
      </c>
      <c r="BQ31" s="72">
        <f t="shared" si="27"/>
        <v>19.48</v>
      </c>
      <c r="CA31" s="148"/>
    </row>
    <row r="32" spans="1:79">
      <c r="A32" s="124"/>
      <c r="F32">
        <v>0.9</v>
      </c>
      <c r="G32" s="72">
        <f>$E$7/10*(H32-INT(H32))*10</f>
        <v>7.3499999999999979</v>
      </c>
      <c r="H32" s="72">
        <v>3.9</v>
      </c>
      <c r="I32" s="72">
        <f>G32+$C$6</f>
        <v>33.016666666666666</v>
      </c>
      <c r="K32" s="72"/>
      <c r="N32" s="72"/>
      <c r="S32" s="125"/>
      <c r="U32" s="147"/>
      <c r="Z32">
        <v>0.9</v>
      </c>
      <c r="AA32" s="72">
        <f t="shared" si="30"/>
        <v>4.59</v>
      </c>
      <c r="AB32">
        <f t="shared" si="22"/>
        <v>3.9</v>
      </c>
      <c r="AC32" s="72">
        <f t="shared" si="23"/>
        <v>19.990000000000002</v>
      </c>
      <c r="AM32" s="148"/>
      <c r="AO32" s="147"/>
      <c r="AT32">
        <v>0.9</v>
      </c>
      <c r="AU32" s="72">
        <f t="shared" si="31"/>
        <v>0.54000000000000015</v>
      </c>
      <c r="AV32">
        <f t="shared" si="24"/>
        <v>3.9</v>
      </c>
      <c r="AW32" s="72">
        <f t="shared" si="25"/>
        <v>2.54</v>
      </c>
      <c r="BG32" s="148"/>
      <c r="BI32" s="147"/>
      <c r="BN32">
        <v>0.9</v>
      </c>
      <c r="BO32" s="72">
        <f t="shared" si="32"/>
        <v>4.59</v>
      </c>
      <c r="BP32">
        <f t="shared" si="26"/>
        <v>3.9</v>
      </c>
      <c r="BQ32" s="72">
        <f t="shared" si="27"/>
        <v>19.990000000000002</v>
      </c>
      <c r="CA32" s="148"/>
    </row>
    <row r="33" spans="1:79">
      <c r="A33" s="124"/>
      <c r="F33">
        <v>0</v>
      </c>
      <c r="G33">
        <v>0</v>
      </c>
      <c r="H33" s="72">
        <v>4</v>
      </c>
      <c r="I33" s="72">
        <f>G33+$C$7</f>
        <v>33.833333333333329</v>
      </c>
      <c r="K33" s="72"/>
      <c r="N33" s="72"/>
      <c r="S33" s="125"/>
      <c r="U33" s="147"/>
      <c r="Z33">
        <v>0</v>
      </c>
      <c r="AA33">
        <v>0</v>
      </c>
      <c r="AB33">
        <f>$V$7+Z33</f>
        <v>4</v>
      </c>
      <c r="AC33" s="72">
        <f>$W$7+AA33</f>
        <v>20.5</v>
      </c>
      <c r="AM33" s="148"/>
      <c r="AO33" s="147"/>
      <c r="AT33">
        <v>0</v>
      </c>
      <c r="AU33">
        <v>0</v>
      </c>
      <c r="AV33">
        <f>$V$7+AT33</f>
        <v>4</v>
      </c>
      <c r="AW33" s="72">
        <f>$AQ$7+AU33</f>
        <v>2.6</v>
      </c>
      <c r="BG33" s="148"/>
      <c r="BI33" s="147"/>
      <c r="BN33">
        <v>0</v>
      </c>
      <c r="BO33">
        <v>0</v>
      </c>
      <c r="BP33">
        <f>$V$7+BN33</f>
        <v>4</v>
      </c>
      <c r="BQ33" s="72">
        <f>$W$7+BO33</f>
        <v>20.5</v>
      </c>
      <c r="CA33" s="148"/>
    </row>
    <row r="34" spans="1:79">
      <c r="A34" s="124"/>
      <c r="F34">
        <v>0.1</v>
      </c>
      <c r="G34" s="72">
        <f>$E$7/10*(H34-INT(H34))*10</f>
        <v>0.81666666666666343</v>
      </c>
      <c r="H34" s="72">
        <v>4.0999999999999996</v>
      </c>
      <c r="I34" s="72">
        <f t="shared" ref="I34:I41" si="33">G34+$C$7</f>
        <v>34.649999999999991</v>
      </c>
      <c r="K34" s="72"/>
      <c r="N34" s="72"/>
      <c r="S34" s="125"/>
      <c r="U34" s="147"/>
      <c r="Z34">
        <v>0.1</v>
      </c>
      <c r="AA34" s="72">
        <f>$Y$8/10*Z34*10</f>
        <v>0.43999999999999984</v>
      </c>
      <c r="AB34">
        <f t="shared" ref="AB34:AB42" si="34">$V$7+Z34</f>
        <v>4.0999999999999996</v>
      </c>
      <c r="AC34" s="72">
        <f>$W$7+AA34</f>
        <v>20.94</v>
      </c>
      <c r="AM34" s="148"/>
      <c r="AO34" s="147"/>
      <c r="AT34">
        <v>0.1</v>
      </c>
      <c r="AU34" s="72">
        <f>$AS$8/10*AT34*10</f>
        <v>5.000000000000001E-2</v>
      </c>
      <c r="AV34">
        <f t="shared" ref="AV34:AV42" si="35">$V$7+AT34</f>
        <v>4.0999999999999996</v>
      </c>
      <c r="AW34" s="72">
        <f t="shared" ref="AW34:AW42" si="36">$AQ$7+AU34</f>
        <v>2.65</v>
      </c>
      <c r="BG34" s="148"/>
      <c r="BI34" s="147"/>
      <c r="BN34">
        <v>0.1</v>
      </c>
      <c r="BO34" s="72">
        <f>$Y$8/10*BN34*10</f>
        <v>0.43999999999999984</v>
      </c>
      <c r="BP34">
        <f t="shared" ref="BP34:BP42" si="37">$V$7+BN34</f>
        <v>4.0999999999999996</v>
      </c>
      <c r="BQ34" s="72">
        <f>$W$7+BO34</f>
        <v>20.94</v>
      </c>
      <c r="CA34" s="148"/>
    </row>
    <row r="35" spans="1:79">
      <c r="A35" s="124"/>
      <c r="F35">
        <v>0.2</v>
      </c>
      <c r="G35" s="72">
        <f t="shared" ref="G35:G41" si="38">$E$7/10*(H35-INT(H35))*10</f>
        <v>1.6333333333333344</v>
      </c>
      <c r="H35" s="72">
        <v>4.2</v>
      </c>
      <c r="I35" s="72">
        <f t="shared" si="33"/>
        <v>35.466666666666661</v>
      </c>
      <c r="K35" s="72"/>
      <c r="N35" s="72"/>
      <c r="S35" s="125"/>
      <c r="U35" s="147"/>
      <c r="Z35">
        <v>0.2</v>
      </c>
      <c r="AA35" s="72">
        <f>$Y$8/10*Z35*10</f>
        <v>0.87999999999999967</v>
      </c>
      <c r="AB35">
        <f t="shared" si="34"/>
        <v>4.2</v>
      </c>
      <c r="AC35" s="72">
        <f t="shared" ref="AC35:AC42" si="39">$W$7+AA35</f>
        <v>21.38</v>
      </c>
      <c r="AM35" s="148"/>
      <c r="AO35" s="147"/>
      <c r="AT35">
        <v>0.2</v>
      </c>
      <c r="AU35" s="72">
        <f t="shared" ref="AU35:AU42" si="40">$AS$8/10*AT35*10</f>
        <v>0.10000000000000002</v>
      </c>
      <c r="AV35">
        <f t="shared" si="35"/>
        <v>4.2</v>
      </c>
      <c r="AW35" s="72">
        <f t="shared" si="36"/>
        <v>2.7</v>
      </c>
      <c r="BG35" s="148"/>
      <c r="BI35" s="147"/>
      <c r="BN35">
        <v>0.2</v>
      </c>
      <c r="BO35" s="72">
        <f>$Y$8/10*BN35*10</f>
        <v>0.87999999999999967</v>
      </c>
      <c r="BP35">
        <f t="shared" si="37"/>
        <v>4.2</v>
      </c>
      <c r="BQ35" s="72">
        <f t="shared" ref="BQ35:BQ42" si="41">$W$7+BO35</f>
        <v>21.38</v>
      </c>
      <c r="CA35" s="148"/>
    </row>
    <row r="36" spans="1:79">
      <c r="A36" s="124"/>
      <c r="F36">
        <v>0.3</v>
      </c>
      <c r="G36" s="72">
        <f t="shared" si="38"/>
        <v>2.4499999999999975</v>
      </c>
      <c r="H36" s="72">
        <v>4.3</v>
      </c>
      <c r="I36" s="72">
        <f t="shared" si="33"/>
        <v>36.283333333333324</v>
      </c>
      <c r="K36" s="72"/>
      <c r="N36" s="72"/>
      <c r="S36" s="125"/>
      <c r="U36" s="147"/>
      <c r="Z36">
        <v>0.3</v>
      </c>
      <c r="AA36" s="72">
        <f t="shared" ref="AA36:AA42" si="42">$Y$8/10*Z36*10</f>
        <v>1.3199999999999994</v>
      </c>
      <c r="AB36">
        <f t="shared" si="34"/>
        <v>4.3</v>
      </c>
      <c r="AC36" s="72">
        <f t="shared" si="39"/>
        <v>21.82</v>
      </c>
      <c r="AM36" s="148"/>
      <c r="AO36" s="147"/>
      <c r="AT36">
        <v>0.3</v>
      </c>
      <c r="AU36" s="72">
        <f t="shared" si="40"/>
        <v>0.15</v>
      </c>
      <c r="AV36">
        <f t="shared" si="35"/>
        <v>4.3</v>
      </c>
      <c r="AW36" s="72">
        <f t="shared" si="36"/>
        <v>2.75</v>
      </c>
      <c r="BG36" s="148"/>
      <c r="BI36" s="147"/>
      <c r="BN36">
        <v>0.3</v>
      </c>
      <c r="BO36" s="72">
        <f t="shared" ref="BO36:BO42" si="43">$Y$8/10*BN36*10</f>
        <v>1.3199999999999994</v>
      </c>
      <c r="BP36">
        <f t="shared" si="37"/>
        <v>4.3</v>
      </c>
      <c r="BQ36" s="72">
        <f t="shared" si="41"/>
        <v>21.82</v>
      </c>
      <c r="CA36" s="148"/>
    </row>
    <row r="37" spans="1:79">
      <c r="A37" s="124"/>
      <c r="F37">
        <v>0.4</v>
      </c>
      <c r="G37" s="72">
        <f t="shared" si="38"/>
        <v>3.2666666666666688</v>
      </c>
      <c r="H37" s="72">
        <v>4.4000000000000004</v>
      </c>
      <c r="I37" s="72">
        <f t="shared" si="33"/>
        <v>37.099999999999994</v>
      </c>
      <c r="K37" s="72"/>
      <c r="N37" s="72"/>
      <c r="S37" s="125"/>
      <c r="U37" s="147"/>
      <c r="Z37">
        <v>0.4</v>
      </c>
      <c r="AA37" s="72">
        <f t="shared" si="42"/>
        <v>1.7599999999999993</v>
      </c>
      <c r="AB37">
        <f t="shared" si="34"/>
        <v>4.4000000000000004</v>
      </c>
      <c r="AC37" s="72">
        <f t="shared" si="39"/>
        <v>22.259999999999998</v>
      </c>
      <c r="AM37" s="148"/>
      <c r="AO37" s="147"/>
      <c r="AT37">
        <v>0.4</v>
      </c>
      <c r="AU37" s="72">
        <f t="shared" si="40"/>
        <v>0.20000000000000004</v>
      </c>
      <c r="AV37">
        <f t="shared" si="35"/>
        <v>4.4000000000000004</v>
      </c>
      <c r="AW37" s="72">
        <f t="shared" si="36"/>
        <v>2.8000000000000003</v>
      </c>
      <c r="BG37" s="148"/>
      <c r="BI37" s="147"/>
      <c r="BN37">
        <v>0.4</v>
      </c>
      <c r="BO37" s="72">
        <f t="shared" si="43"/>
        <v>1.7599999999999993</v>
      </c>
      <c r="BP37">
        <f t="shared" si="37"/>
        <v>4.4000000000000004</v>
      </c>
      <c r="BQ37" s="72">
        <f t="shared" si="41"/>
        <v>22.259999999999998</v>
      </c>
      <c r="CA37" s="148"/>
    </row>
    <row r="38" spans="1:79">
      <c r="A38" s="124"/>
      <c r="F38">
        <v>0.5</v>
      </c>
      <c r="G38" s="72">
        <f t="shared" si="38"/>
        <v>4.0833333333333321</v>
      </c>
      <c r="H38" s="72">
        <v>4.5</v>
      </c>
      <c r="I38" s="72">
        <f t="shared" si="33"/>
        <v>37.916666666666657</v>
      </c>
      <c r="S38" s="125"/>
      <c r="U38" s="147"/>
      <c r="Z38">
        <v>0.5</v>
      </c>
      <c r="AA38" s="72">
        <f t="shared" si="42"/>
        <v>2.1999999999999993</v>
      </c>
      <c r="AB38">
        <f t="shared" si="34"/>
        <v>4.5</v>
      </c>
      <c r="AC38" s="72">
        <f t="shared" si="39"/>
        <v>22.7</v>
      </c>
      <c r="AM38" s="148"/>
      <c r="AO38" s="147"/>
      <c r="AT38">
        <v>0.5</v>
      </c>
      <c r="AU38" s="72">
        <f t="shared" si="40"/>
        <v>0.25</v>
      </c>
      <c r="AV38">
        <f t="shared" si="35"/>
        <v>4.5</v>
      </c>
      <c r="AW38" s="72">
        <f t="shared" si="36"/>
        <v>2.85</v>
      </c>
      <c r="BG38" s="148"/>
      <c r="BI38" s="147"/>
      <c r="BN38">
        <v>0.5</v>
      </c>
      <c r="BO38" s="72">
        <f t="shared" si="43"/>
        <v>2.1999999999999993</v>
      </c>
      <c r="BP38">
        <f t="shared" si="37"/>
        <v>4.5</v>
      </c>
      <c r="BQ38" s="72">
        <f t="shared" si="41"/>
        <v>22.7</v>
      </c>
      <c r="CA38" s="148"/>
    </row>
    <row r="39" spans="1:79">
      <c r="A39" s="124"/>
      <c r="F39">
        <v>0.6</v>
      </c>
      <c r="G39" s="72">
        <f t="shared" si="38"/>
        <v>4.899999999999995</v>
      </c>
      <c r="H39" s="72">
        <v>4.5999999999999996</v>
      </c>
      <c r="I39" s="72">
        <f t="shared" si="33"/>
        <v>38.73333333333332</v>
      </c>
      <c r="S39" s="125"/>
      <c r="U39" s="147"/>
      <c r="Z39">
        <v>0.6</v>
      </c>
      <c r="AA39" s="72">
        <f t="shared" si="42"/>
        <v>2.6399999999999988</v>
      </c>
      <c r="AB39">
        <f t="shared" si="34"/>
        <v>4.5999999999999996</v>
      </c>
      <c r="AC39" s="72">
        <f t="shared" si="39"/>
        <v>23.14</v>
      </c>
      <c r="AM39" s="148"/>
      <c r="AO39" s="147"/>
      <c r="AT39">
        <v>0.6</v>
      </c>
      <c r="AU39" s="72">
        <f t="shared" si="40"/>
        <v>0.3</v>
      </c>
      <c r="AV39">
        <f t="shared" si="35"/>
        <v>4.5999999999999996</v>
      </c>
      <c r="AW39" s="72">
        <f t="shared" si="36"/>
        <v>2.9</v>
      </c>
      <c r="BG39" s="148"/>
      <c r="BI39" s="147"/>
      <c r="BN39">
        <v>0.6</v>
      </c>
      <c r="BO39" s="72">
        <f t="shared" si="43"/>
        <v>2.6399999999999988</v>
      </c>
      <c r="BP39">
        <f t="shared" si="37"/>
        <v>4.5999999999999996</v>
      </c>
      <c r="BQ39" s="72">
        <f t="shared" si="41"/>
        <v>23.14</v>
      </c>
      <c r="CA39" s="148"/>
    </row>
    <row r="40" spans="1:79">
      <c r="A40" s="124"/>
      <c r="F40">
        <v>0.7</v>
      </c>
      <c r="G40" s="72">
        <f t="shared" si="38"/>
        <v>5.7166666666666668</v>
      </c>
      <c r="H40" s="72">
        <v>4.7</v>
      </c>
      <c r="I40" s="72">
        <f t="shared" si="33"/>
        <v>39.549999999999997</v>
      </c>
      <c r="S40" s="125"/>
      <c r="U40" s="147"/>
      <c r="Z40">
        <v>0.7</v>
      </c>
      <c r="AA40" s="72">
        <f t="shared" si="42"/>
        <v>3.0799999999999987</v>
      </c>
      <c r="AB40">
        <f t="shared" si="34"/>
        <v>4.7</v>
      </c>
      <c r="AC40" s="72">
        <f t="shared" si="39"/>
        <v>23.58</v>
      </c>
      <c r="AM40" s="148"/>
      <c r="AO40" s="147"/>
      <c r="AP40" s="72"/>
      <c r="AT40">
        <v>0.7</v>
      </c>
      <c r="AU40" s="72">
        <f t="shared" si="40"/>
        <v>0.35</v>
      </c>
      <c r="AV40">
        <f t="shared" si="35"/>
        <v>4.7</v>
      </c>
      <c r="AW40" s="72">
        <f t="shared" si="36"/>
        <v>2.95</v>
      </c>
      <c r="BG40" s="148"/>
      <c r="BI40" s="147"/>
      <c r="BN40">
        <v>0.7</v>
      </c>
      <c r="BO40" s="72">
        <f t="shared" si="43"/>
        <v>3.0799999999999987</v>
      </c>
      <c r="BP40">
        <f t="shared" si="37"/>
        <v>4.7</v>
      </c>
      <c r="BQ40" s="72">
        <f t="shared" si="41"/>
        <v>23.58</v>
      </c>
      <c r="CA40" s="148"/>
    </row>
    <row r="41" spans="1:79">
      <c r="A41" s="124"/>
      <c r="F41">
        <v>0.8</v>
      </c>
      <c r="G41" s="72">
        <f t="shared" si="38"/>
        <v>6.5333333333333297</v>
      </c>
      <c r="H41" s="72">
        <v>4.8</v>
      </c>
      <c r="I41" s="72">
        <f t="shared" si="33"/>
        <v>40.36666666666666</v>
      </c>
      <c r="S41" s="125"/>
      <c r="U41" s="147"/>
      <c r="Z41">
        <v>0.8</v>
      </c>
      <c r="AA41" s="72">
        <f t="shared" si="42"/>
        <v>3.5199999999999987</v>
      </c>
      <c r="AB41">
        <f t="shared" si="34"/>
        <v>4.8</v>
      </c>
      <c r="AC41" s="72">
        <f t="shared" si="39"/>
        <v>24.02</v>
      </c>
      <c r="AM41" s="148"/>
      <c r="AO41" s="147"/>
      <c r="AT41">
        <v>0.8</v>
      </c>
      <c r="AU41" s="72">
        <f t="shared" si="40"/>
        <v>0.40000000000000008</v>
      </c>
      <c r="AV41">
        <f t="shared" si="35"/>
        <v>4.8</v>
      </c>
      <c r="AW41" s="72">
        <f t="shared" si="36"/>
        <v>3</v>
      </c>
      <c r="BG41" s="148"/>
      <c r="BI41" s="147"/>
      <c r="BN41">
        <v>0.8</v>
      </c>
      <c r="BO41" s="72">
        <f t="shared" si="43"/>
        <v>3.5199999999999987</v>
      </c>
      <c r="BP41">
        <f t="shared" si="37"/>
        <v>4.8</v>
      </c>
      <c r="BQ41" s="72">
        <f t="shared" si="41"/>
        <v>24.02</v>
      </c>
      <c r="CA41" s="148"/>
    </row>
    <row r="42" spans="1:79">
      <c r="A42" s="124"/>
      <c r="F42">
        <v>0.9</v>
      </c>
      <c r="G42" s="72">
        <f>$E$7/10*(H42-INT(H42))*10</f>
        <v>7.3500000000000014</v>
      </c>
      <c r="H42" s="72">
        <v>4.9000000000000004</v>
      </c>
      <c r="I42" s="72">
        <f>G42+$C$7</f>
        <v>41.18333333333333</v>
      </c>
      <c r="S42" s="125"/>
      <c r="U42" s="147"/>
      <c r="Z42">
        <v>0.9</v>
      </c>
      <c r="AA42" s="72">
        <f t="shared" si="42"/>
        <v>3.9599999999999986</v>
      </c>
      <c r="AB42">
        <f t="shared" si="34"/>
        <v>4.9000000000000004</v>
      </c>
      <c r="AC42" s="72">
        <f t="shared" si="39"/>
        <v>24.459999999999997</v>
      </c>
      <c r="AM42" s="148"/>
      <c r="AO42" s="147"/>
      <c r="AQ42" s="72"/>
      <c r="AT42">
        <v>0.9</v>
      </c>
      <c r="AU42" s="72">
        <f t="shared" si="40"/>
        <v>0.45000000000000007</v>
      </c>
      <c r="AV42">
        <f t="shared" si="35"/>
        <v>4.9000000000000004</v>
      </c>
      <c r="AW42" s="72">
        <f t="shared" si="36"/>
        <v>3.0500000000000003</v>
      </c>
      <c r="BG42" s="148"/>
      <c r="BI42" s="147"/>
      <c r="BN42">
        <v>0.9</v>
      </c>
      <c r="BO42" s="72">
        <f t="shared" si="43"/>
        <v>3.9599999999999986</v>
      </c>
      <c r="BP42">
        <f t="shared" si="37"/>
        <v>4.9000000000000004</v>
      </c>
      <c r="BQ42" s="72">
        <f t="shared" si="41"/>
        <v>24.459999999999997</v>
      </c>
      <c r="CA42" s="148"/>
    </row>
    <row r="43" spans="1:79">
      <c r="A43" s="124"/>
      <c r="H43" s="72">
        <v>5</v>
      </c>
      <c r="I43" s="72">
        <f>C8</f>
        <v>40.166666666666664</v>
      </c>
      <c r="S43" s="125"/>
      <c r="U43" s="147"/>
      <c r="AB43" s="72">
        <f>V8</f>
        <v>5</v>
      </c>
      <c r="AC43" s="72">
        <f>W8</f>
        <v>24.9</v>
      </c>
      <c r="AM43" s="148"/>
      <c r="AO43" s="147"/>
      <c r="AV43" s="72">
        <f>AP8</f>
        <v>5</v>
      </c>
      <c r="AW43" s="72">
        <f>AQ8</f>
        <v>3.1</v>
      </c>
      <c r="BG43" s="148"/>
      <c r="BI43" s="147"/>
      <c r="BP43" s="72">
        <f>BJ8</f>
        <v>5</v>
      </c>
      <c r="BQ43" s="72">
        <f>BK8</f>
        <v>0</v>
      </c>
      <c r="CA43" s="148"/>
    </row>
    <row r="44" spans="1:79">
      <c r="A44" s="124"/>
      <c r="S44" s="125"/>
      <c r="U44" s="147"/>
      <c r="AM44" s="148"/>
      <c r="AO44" s="147"/>
      <c r="BG44" s="148"/>
      <c r="BI44" s="147"/>
      <c r="CA44" s="148"/>
    </row>
    <row r="45" spans="1:79" ht="26.25">
      <c r="A45" s="168">
        <v>6</v>
      </c>
      <c r="S45" s="125"/>
      <c r="U45" s="147">
        <v>10</v>
      </c>
      <c r="AM45" s="148"/>
      <c r="AO45" s="147">
        <v>80</v>
      </c>
      <c r="BG45" s="148"/>
      <c r="BI45" s="147">
        <v>120</v>
      </c>
      <c r="CA45" s="148"/>
    </row>
    <row r="46" spans="1:79" s="168" customFormat="1" ht="33" customHeight="1">
      <c r="A46" s="341" t="s">
        <v>129</v>
      </c>
      <c r="B46" s="342"/>
      <c r="C46" s="342"/>
      <c r="D46" s="342"/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42"/>
      <c r="P46" s="342"/>
      <c r="Q46" s="342"/>
      <c r="R46" s="342"/>
      <c r="S46" s="343"/>
      <c r="U46" s="341" t="s">
        <v>130</v>
      </c>
      <c r="V46" s="342"/>
      <c r="W46" s="342"/>
      <c r="X46" s="342"/>
      <c r="Y46" s="342"/>
      <c r="Z46" s="342"/>
      <c r="AA46" s="342"/>
      <c r="AB46" s="342"/>
      <c r="AC46" s="342"/>
      <c r="AD46" s="342"/>
      <c r="AE46" s="342"/>
      <c r="AF46" s="342"/>
      <c r="AG46" s="342"/>
      <c r="AH46" s="342"/>
      <c r="AI46" s="342"/>
      <c r="AJ46" s="342"/>
      <c r="AK46" s="342"/>
      <c r="AL46" s="342"/>
      <c r="AM46" s="343"/>
      <c r="AO46" s="341" t="s">
        <v>131</v>
      </c>
      <c r="AP46" s="342"/>
      <c r="AQ46" s="342"/>
      <c r="AR46" s="342"/>
      <c r="AS46" s="342"/>
      <c r="AT46" s="342"/>
      <c r="AU46" s="342"/>
      <c r="AV46" s="342"/>
      <c r="AW46" s="342"/>
      <c r="AX46" s="342"/>
      <c r="AY46" s="342"/>
      <c r="AZ46" s="342"/>
      <c r="BA46" s="342"/>
      <c r="BB46" s="342"/>
      <c r="BC46" s="342"/>
      <c r="BD46" s="342"/>
      <c r="BE46" s="342"/>
      <c r="BF46" s="342"/>
      <c r="BG46" s="343"/>
      <c r="BI46" s="341" t="s">
        <v>132</v>
      </c>
      <c r="BJ46" s="342"/>
      <c r="BK46" s="342"/>
      <c r="BL46" s="342"/>
      <c r="BM46" s="342"/>
      <c r="BN46" s="342"/>
      <c r="BO46" s="342"/>
      <c r="BP46" s="342"/>
      <c r="BQ46" s="342"/>
      <c r="BR46" s="342"/>
      <c r="BS46" s="342"/>
      <c r="BT46" s="342"/>
      <c r="BU46" s="342"/>
      <c r="BV46" s="342"/>
      <c r="BW46" s="342"/>
      <c r="BX46" s="342"/>
      <c r="BY46" s="342"/>
      <c r="BZ46" s="342"/>
      <c r="CA46" s="343"/>
    </row>
    <row r="47" spans="1:79">
      <c r="A47" s="124" t="s">
        <v>134</v>
      </c>
      <c r="B47" s="344">
        <f>SUM(C85,C118,C150,C185,C222,C257,C294,C330,C366,C401,C429)</f>
        <v>10.5</v>
      </c>
      <c r="C47" s="344"/>
      <c r="D47" s="72"/>
      <c r="E47" t="s">
        <v>134</v>
      </c>
      <c r="F47" s="344">
        <f>SUM(G70,G92,G114,G136,G158,G180,G203,G224,G246,G268,G290,G312,G334,G356,G378,G400,G422,G436)</f>
        <v>17.166666666666668</v>
      </c>
      <c r="G47" s="344"/>
      <c r="H47" s="72"/>
      <c r="I47" t="s">
        <v>134</v>
      </c>
      <c r="J47" s="344">
        <f>SUM(K94,K380,K409,K444,K64,K79,K109,K124,K139,K155,K169,K184,K199,K214,K229,K244,K259,K274,K289,K304,K319,K334,K349,K364,K395,K424)</f>
        <v>25.666666666666664</v>
      </c>
      <c r="K47" s="344"/>
      <c r="L47" s="72"/>
      <c r="M47" s="72"/>
      <c r="N47" t="s">
        <v>134</v>
      </c>
      <c r="O47" s="344">
        <f>SUM(P119,P178,P215,P261,P284,P387,P451,P63,P73,P86,P96,P109,P132,P142,P156,P165,P192,P202,P225,P238,P248,P272,P294,P307,P317,P330,P340,P353,P363,P376,P400,P409,P422,P432)</f>
        <v>33.833333333333329</v>
      </c>
      <c r="P47" s="344"/>
      <c r="Q47" s="72"/>
      <c r="R47" s="344">
        <f>SUM(S85,S114,S146,S177,S209,S240,S272,S304,S335,S367,S398,S430)</f>
        <v>40.166666666666664</v>
      </c>
      <c r="S47" s="353"/>
      <c r="U47" s="147" t="s">
        <v>134</v>
      </c>
      <c r="V47" s="344">
        <f>SUM(W85,W118,W150,W185,W222,W257,W294,W429,W330,W366,W401)</f>
        <v>10.3</v>
      </c>
      <c r="W47" s="344"/>
      <c r="X47" s="72"/>
      <c r="Y47" t="s">
        <v>134</v>
      </c>
      <c r="Z47" s="344">
        <f>SUM(AA85,AA118,AA150,AA185,AA222,AA257,AA294,AA429,AA330,AA366,AA401)</f>
        <v>10.5</v>
      </c>
      <c r="AA47" s="344"/>
      <c r="AC47" t="s">
        <v>134</v>
      </c>
      <c r="AD47" s="344">
        <f>SUM(AE76,AE99,AE122,AE149,AE171,AE194,AE217,AE244,AE267,AE290,AE317,AE340,AE363,AE391,AE414,AE434)</f>
        <v>15.4</v>
      </c>
      <c r="AE47" s="344"/>
      <c r="AG47" t="s">
        <v>134</v>
      </c>
      <c r="AH47" s="344">
        <f>SUM(AI70,AI87,AI107,AI124,AI144,AI161,AI181,AI198,AI219,AI239,AI256,AI276,AI293,AI313,AI330,AI350,AI367,AI388,AI405,AI424,AI439)</f>
        <v>20.5</v>
      </c>
      <c r="AI47" s="344"/>
      <c r="AK47" t="s">
        <v>134</v>
      </c>
      <c r="AL47" s="344">
        <f>SUM(AM66,AM96,AM126,AM174,AM189,AM206,AM221,AM267,AM282,AM297,AM327,AM357,AM407,AM422,AM443,AM111,AM141,AM236,AM312,AM372,AM392,AM81,AM159,AM251,AM342)</f>
        <v>24.9</v>
      </c>
      <c r="AM47" s="345"/>
      <c r="AO47" s="147" t="s">
        <v>134</v>
      </c>
      <c r="AP47" s="344">
        <f>IF(AP49&lt;=AO45,1,0)</f>
        <v>1</v>
      </c>
      <c r="AQ47" s="344"/>
      <c r="AR47" s="72"/>
      <c r="AS47" t="s">
        <v>134</v>
      </c>
      <c r="AT47" s="344">
        <f>IF(AT49&gt;=$AO$45,1,0)+MROUND((AT49-$AO$45)/$AO$45,0.1)</f>
        <v>1.3</v>
      </c>
      <c r="AU47" s="344"/>
      <c r="AW47" t="s">
        <v>134</v>
      </c>
      <c r="AX47" s="344">
        <f>IF(AX49&gt;=$AO$45,1,0)+MROUND((AX49-$AO$45)/$AO$45,0.1)</f>
        <v>2</v>
      </c>
      <c r="AY47" s="344"/>
      <c r="BA47" t="s">
        <v>134</v>
      </c>
      <c r="BB47" s="344">
        <f>IF(BB49&gt;=$AO$45,1,0)+MROUND((BB49-$AO$45)/$AO$45,0.1)</f>
        <v>2.6</v>
      </c>
      <c r="BC47" s="344"/>
      <c r="BE47" t="s">
        <v>134</v>
      </c>
      <c r="BF47" s="344">
        <f>IF(BF49&gt;=$AO$45,1,0)+MROUND((BF49-$AO$45)/$AO$45,0.1)</f>
        <v>3.1</v>
      </c>
      <c r="BG47" s="344"/>
      <c r="BI47" s="147" t="s">
        <v>134</v>
      </c>
      <c r="BJ47" s="344" t="e">
        <f>SUM(#REF!,#REF!,#REF!,#REF!,#REF!,#REF!,#REF!,#REF!,#REF!,#REF!,#REF!)</f>
        <v>#REF!</v>
      </c>
      <c r="BK47" s="344"/>
      <c r="BL47" s="72"/>
      <c r="BM47" t="s">
        <v>134</v>
      </c>
      <c r="BN47" s="344">
        <f>SUM(BO86,BO119,BO151,BO186,BO223,BO258,BO295,BO430,BO331,BO367,BO402)</f>
        <v>0</v>
      </c>
      <c r="BO47" s="344"/>
      <c r="BQ47" t="s">
        <v>134</v>
      </c>
      <c r="BR47" s="344">
        <f>SUM(BS77,BS100,BS123,BS150,BS172,BS195,BS218,BS245,BS268,BS291,BS318,BS341,BS364,BS392,BS415,BS435)</f>
        <v>0</v>
      </c>
      <c r="BS47" s="344"/>
      <c r="BU47" t="s">
        <v>134</v>
      </c>
      <c r="BV47" s="344">
        <f>SUM(BW71,BW88,BW108,BW125,BW145,BW162,BW182,BW199,BW220,BW240,BW257,BW277,BW294,BW314,BW331,BW351,BW368,BW389,BW406,BW425,BW440)</f>
        <v>0</v>
      </c>
      <c r="BW47" s="344"/>
      <c r="BY47" t="s">
        <v>134</v>
      </c>
      <c r="BZ47" s="344">
        <f>SUM(CA67,CA97,CA127,CA175,CA190,CA207,CA222,CA268,CA283,CA298,CA328,CA358,CA408,CA423,CA444,CA112,CA142,CA237,CA313,CA373,CA393,CA82,CA160,CA252,CA343)</f>
        <v>0</v>
      </c>
      <c r="CA47" s="345"/>
    </row>
    <row r="48" spans="1:79">
      <c r="A48" s="124" t="s">
        <v>135</v>
      </c>
      <c r="B48" s="351">
        <v>1</v>
      </c>
      <c r="C48" s="351"/>
      <c r="D48" s="5"/>
      <c r="E48" t="s">
        <v>135</v>
      </c>
      <c r="F48" s="351">
        <v>2</v>
      </c>
      <c r="G48" s="351"/>
      <c r="H48" s="5"/>
      <c r="I48" t="s">
        <v>135</v>
      </c>
      <c r="J48" s="351">
        <v>3</v>
      </c>
      <c r="K48" s="351"/>
      <c r="L48" s="5"/>
      <c r="M48" s="5"/>
      <c r="N48" t="s">
        <v>135</v>
      </c>
      <c r="O48" s="351">
        <v>4</v>
      </c>
      <c r="P48" s="351"/>
      <c r="Q48" s="5"/>
      <c r="R48" s="351">
        <v>5</v>
      </c>
      <c r="S48" s="352"/>
      <c r="U48" s="147" t="s">
        <v>135</v>
      </c>
      <c r="V48" s="79">
        <v>1</v>
      </c>
      <c r="Y48" t="s">
        <v>135</v>
      </c>
      <c r="Z48" s="79">
        <v>2</v>
      </c>
      <c r="AA48" s="79"/>
      <c r="AC48" t="s">
        <v>135</v>
      </c>
      <c r="AD48" s="79">
        <v>3</v>
      </c>
      <c r="AE48" s="79"/>
      <c r="AG48" t="s">
        <v>135</v>
      </c>
      <c r="AH48" s="79">
        <v>4</v>
      </c>
      <c r="AI48" s="79"/>
      <c r="AK48" t="s">
        <v>135</v>
      </c>
      <c r="AL48" s="79">
        <v>5</v>
      </c>
      <c r="AM48" s="149"/>
      <c r="AO48" s="147" t="s">
        <v>135</v>
      </c>
      <c r="AP48" s="79">
        <v>1</v>
      </c>
      <c r="AS48" t="s">
        <v>135</v>
      </c>
      <c r="AT48" s="79">
        <v>2</v>
      </c>
      <c r="AU48" s="79"/>
      <c r="AW48" t="s">
        <v>135</v>
      </c>
      <c r="AX48" s="79">
        <v>3</v>
      </c>
      <c r="AY48" s="79"/>
      <c r="BA48" t="s">
        <v>135</v>
      </c>
      <c r="BB48" s="79">
        <v>4</v>
      </c>
      <c r="BC48" s="79"/>
      <c r="BE48" t="s">
        <v>135</v>
      </c>
      <c r="BF48" s="79">
        <v>5</v>
      </c>
      <c r="BG48" s="149"/>
      <c r="BI48" s="147" t="s">
        <v>135</v>
      </c>
      <c r="BJ48" s="79">
        <v>1</v>
      </c>
      <c r="BM48" t="s">
        <v>135</v>
      </c>
      <c r="BN48" s="79">
        <v>2</v>
      </c>
      <c r="BO48" s="79"/>
      <c r="BQ48" t="s">
        <v>135</v>
      </c>
      <c r="BR48" s="79">
        <v>3</v>
      </c>
      <c r="BS48" s="79"/>
      <c r="BU48" t="s">
        <v>135</v>
      </c>
      <c r="BV48" s="79">
        <v>4</v>
      </c>
      <c r="BW48" s="79"/>
      <c r="BY48" t="s">
        <v>135</v>
      </c>
      <c r="BZ48" s="79">
        <v>5</v>
      </c>
      <c r="CA48" s="149"/>
    </row>
    <row r="49" spans="1:79" ht="28.15" customHeight="1">
      <c r="A49" s="350" t="s">
        <v>136</v>
      </c>
      <c r="B49" s="348"/>
      <c r="C49" s="5">
        <v>1</v>
      </c>
      <c r="D49" s="5"/>
      <c r="E49" s="114" t="s">
        <v>136</v>
      </c>
      <c r="F49" s="114"/>
      <c r="G49" s="5">
        <v>1</v>
      </c>
      <c r="H49" s="5"/>
      <c r="I49" s="114" t="s">
        <v>136</v>
      </c>
      <c r="J49" s="114"/>
      <c r="K49" s="5">
        <v>1</v>
      </c>
      <c r="L49" s="5"/>
      <c r="M49" s="5"/>
      <c r="N49" s="348" t="s">
        <v>136</v>
      </c>
      <c r="O49" s="348"/>
      <c r="P49" s="5">
        <v>1</v>
      </c>
      <c r="Q49" s="5"/>
      <c r="R49" s="115"/>
      <c r="S49" s="126"/>
      <c r="U49" s="349" t="s">
        <v>136</v>
      </c>
      <c r="V49" s="348"/>
      <c r="W49" s="5">
        <v>1</v>
      </c>
      <c r="Y49" s="348" t="s">
        <v>136</v>
      </c>
      <c r="Z49" s="348"/>
      <c r="AA49" s="5">
        <v>1</v>
      </c>
      <c r="AC49" s="348" t="s">
        <v>136</v>
      </c>
      <c r="AD49" s="348"/>
      <c r="AE49" s="5">
        <v>1</v>
      </c>
      <c r="AH49" s="79"/>
      <c r="AI49" s="79"/>
      <c r="AL49" s="79"/>
      <c r="AM49" s="149"/>
      <c r="AO49" s="147" t="s">
        <v>137</v>
      </c>
      <c r="AP49" s="79">
        <f>AP419</f>
        <v>51</v>
      </c>
      <c r="AS49" s="147" t="s">
        <v>137</v>
      </c>
      <c r="AT49" s="79">
        <f>AT419</f>
        <v>103</v>
      </c>
      <c r="AU49" s="79"/>
      <c r="AW49" s="147" t="s">
        <v>137</v>
      </c>
      <c r="AX49" s="79">
        <f>AX419</f>
        <v>156</v>
      </c>
      <c r="AY49" s="79"/>
      <c r="BA49" s="147" t="s">
        <v>137</v>
      </c>
      <c r="BB49" s="79">
        <f>BB419</f>
        <v>205</v>
      </c>
      <c r="BC49" s="79"/>
      <c r="BE49" s="147" t="s">
        <v>137</v>
      </c>
      <c r="BF49" s="79">
        <f>BF419</f>
        <v>249</v>
      </c>
      <c r="BG49" s="149"/>
      <c r="BI49" s="147" t="s">
        <v>137</v>
      </c>
      <c r="BJ49" s="79">
        <f>BJ419</f>
        <v>51</v>
      </c>
      <c r="BM49" s="147" t="s">
        <v>137</v>
      </c>
      <c r="BN49" s="79">
        <f>BN419</f>
        <v>103</v>
      </c>
      <c r="BO49" s="79"/>
      <c r="BQ49" s="147" t="s">
        <v>137</v>
      </c>
      <c r="BR49" s="79">
        <f>BR419</f>
        <v>156</v>
      </c>
      <c r="BS49" s="79"/>
      <c r="BU49" s="147" t="s">
        <v>137</v>
      </c>
      <c r="BV49" s="79">
        <f>BV419</f>
        <v>205</v>
      </c>
      <c r="BW49" s="79"/>
      <c r="BY49" s="147" t="s">
        <v>137</v>
      </c>
      <c r="BZ49" s="79">
        <f>BZ419</f>
        <v>249</v>
      </c>
      <c r="CA49" s="149"/>
    </row>
    <row r="50" spans="1:79" ht="14.45" customHeight="1">
      <c r="A50" s="127" t="s">
        <v>138</v>
      </c>
      <c r="C50" s="116" t="s">
        <v>139</v>
      </c>
      <c r="D50" s="116"/>
      <c r="E50" s="57" t="s">
        <v>138</v>
      </c>
      <c r="G50" s="116"/>
      <c r="H50" s="116"/>
      <c r="I50" s="57" t="s">
        <v>138</v>
      </c>
      <c r="K50" s="116"/>
      <c r="L50" s="116"/>
      <c r="M50" s="116"/>
      <c r="N50" s="57" t="s">
        <v>138</v>
      </c>
      <c r="P50" s="116"/>
      <c r="Q50" s="116"/>
      <c r="R50" s="57" t="s">
        <v>140</v>
      </c>
      <c r="S50" s="128"/>
      <c r="U50" s="150" t="s">
        <v>138</v>
      </c>
      <c r="W50" s="116" t="s">
        <v>139</v>
      </c>
      <c r="X50" s="116"/>
      <c r="Y50" s="57" t="s">
        <v>138</v>
      </c>
      <c r="AA50" s="116" t="s">
        <v>139</v>
      </c>
      <c r="AC50" s="57" t="s">
        <v>138</v>
      </c>
      <c r="AE50" s="116" t="s">
        <v>139</v>
      </c>
      <c r="AG50" s="57" t="s">
        <v>138</v>
      </c>
      <c r="AI50" s="116"/>
      <c r="AK50" s="57" t="s">
        <v>141</v>
      </c>
      <c r="AM50" s="151"/>
      <c r="AO50" s="349" t="s">
        <v>136</v>
      </c>
      <c r="AP50" s="348"/>
      <c r="AQ50" s="5">
        <v>1</v>
      </c>
      <c r="AS50" s="348" t="s">
        <v>136</v>
      </c>
      <c r="AT50" s="348"/>
      <c r="AU50" s="5">
        <v>1</v>
      </c>
      <c r="AW50" s="348" t="s">
        <v>136</v>
      </c>
      <c r="AX50" s="348"/>
      <c r="AY50" s="5">
        <v>1</v>
      </c>
      <c r="BB50" s="79"/>
      <c r="BC50" s="79"/>
      <c r="BF50" s="79"/>
      <c r="BG50" s="149"/>
      <c r="BI50" s="349" t="s">
        <v>136</v>
      </c>
      <c r="BJ50" s="348"/>
      <c r="BK50" s="5">
        <v>1</v>
      </c>
      <c r="BM50" s="348" t="s">
        <v>136</v>
      </c>
      <c r="BN50" s="348"/>
      <c r="BO50" s="5">
        <v>1</v>
      </c>
      <c r="BQ50" s="348" t="s">
        <v>136</v>
      </c>
      <c r="BR50" s="348"/>
      <c r="BS50" s="5">
        <v>1</v>
      </c>
      <c r="BV50" s="79"/>
      <c r="BW50" s="79"/>
      <c r="BZ50" s="79"/>
      <c r="CA50" s="149"/>
    </row>
    <row r="51" spans="1:79">
      <c r="A51" s="129">
        <v>44197</v>
      </c>
      <c r="B51" s="37"/>
      <c r="C51" s="37"/>
      <c r="E51" s="117">
        <v>44197</v>
      </c>
      <c r="F51" s="37"/>
      <c r="G51" s="37"/>
      <c r="I51" s="117">
        <v>44197</v>
      </c>
      <c r="J51" s="37"/>
      <c r="K51" s="37"/>
      <c r="L51" s="37"/>
      <c r="M51" s="37"/>
      <c r="N51" s="117">
        <v>44197</v>
      </c>
      <c r="O51" s="37"/>
      <c r="P51" s="37"/>
      <c r="R51" s="37"/>
      <c r="S51" s="130"/>
      <c r="U51" s="152">
        <v>44197</v>
      </c>
      <c r="V51" s="37"/>
      <c r="W51" s="37"/>
      <c r="Y51" s="117">
        <v>44197</v>
      </c>
      <c r="Z51" s="37"/>
      <c r="AA51" s="37"/>
      <c r="AC51" s="117">
        <v>44197</v>
      </c>
      <c r="AD51" s="37"/>
      <c r="AE51" s="37"/>
      <c r="AG51" s="117">
        <v>44197</v>
      </c>
      <c r="AH51" s="37"/>
      <c r="AI51" s="37"/>
      <c r="AK51" s="117">
        <v>44197</v>
      </c>
      <c r="AL51" s="37"/>
      <c r="AM51" s="153"/>
      <c r="AQ51" s="116" t="s">
        <v>139</v>
      </c>
      <c r="AR51" s="116"/>
      <c r="AU51" s="116" t="s">
        <v>139</v>
      </c>
      <c r="AY51" s="116" t="s">
        <v>139</v>
      </c>
      <c r="BC51" s="116"/>
      <c r="BG51" s="151"/>
      <c r="BK51" s="116" t="s">
        <v>139</v>
      </c>
      <c r="BL51" s="116"/>
      <c r="BO51" s="116" t="s">
        <v>139</v>
      </c>
      <c r="BS51" s="116" t="s">
        <v>139</v>
      </c>
      <c r="BW51" s="116"/>
      <c r="CA51" s="151"/>
    </row>
    <row r="52" spans="1:79">
      <c r="A52" s="129">
        <v>44198</v>
      </c>
      <c r="B52" s="37"/>
      <c r="C52" s="37"/>
      <c r="E52" s="117">
        <v>44198</v>
      </c>
      <c r="F52" s="37"/>
      <c r="G52" s="37"/>
      <c r="I52" s="117">
        <v>44198</v>
      </c>
      <c r="J52" s="37"/>
      <c r="K52" s="37"/>
      <c r="L52" s="37"/>
      <c r="M52" s="37"/>
      <c r="N52" s="117">
        <v>44198</v>
      </c>
      <c r="O52" s="37"/>
      <c r="P52" s="37"/>
      <c r="R52" s="37"/>
      <c r="S52" s="130"/>
      <c r="U52" s="152">
        <v>44198</v>
      </c>
      <c r="V52" s="37"/>
      <c r="W52" s="37"/>
      <c r="Y52" s="117">
        <v>44198</v>
      </c>
      <c r="Z52" s="37"/>
      <c r="AA52" s="37"/>
      <c r="AC52" s="117">
        <v>44198</v>
      </c>
      <c r="AD52" s="37"/>
      <c r="AE52" s="37"/>
      <c r="AG52" s="117">
        <v>44198</v>
      </c>
      <c r="AH52" s="37"/>
      <c r="AI52" s="37"/>
      <c r="AK52" s="117">
        <v>44198</v>
      </c>
      <c r="AL52" s="37"/>
      <c r="AM52" s="153"/>
      <c r="AO52" s="152">
        <v>44197</v>
      </c>
      <c r="AP52" s="37"/>
      <c r="AQ52" s="37"/>
      <c r="AS52" s="152">
        <v>44197</v>
      </c>
      <c r="AT52" s="37"/>
      <c r="AU52" s="37"/>
      <c r="AW52" s="152">
        <v>44197</v>
      </c>
      <c r="AX52" s="37"/>
      <c r="AY52" s="37"/>
      <c r="BA52" s="152">
        <v>44197</v>
      </c>
      <c r="BB52" s="37"/>
      <c r="BC52" s="37"/>
      <c r="BE52" s="152">
        <v>44197</v>
      </c>
      <c r="BF52" s="37"/>
      <c r="BG52" s="37"/>
      <c r="BI52" s="152">
        <v>44197</v>
      </c>
      <c r="BJ52" s="37"/>
      <c r="BK52" s="37"/>
      <c r="BM52" s="152">
        <v>44197</v>
      </c>
      <c r="BN52" s="37"/>
      <c r="BO52" s="37"/>
      <c r="BQ52" s="152">
        <v>44197</v>
      </c>
      <c r="BR52" s="37"/>
      <c r="BS52" s="37"/>
      <c r="BU52" s="152">
        <v>44197</v>
      </c>
      <c r="BV52" s="37"/>
      <c r="BW52" s="37"/>
      <c r="BY52" s="152">
        <v>44197</v>
      </c>
      <c r="BZ52" s="37"/>
      <c r="CA52" s="37"/>
    </row>
    <row r="53" spans="1:79">
      <c r="A53" s="129">
        <v>44199</v>
      </c>
      <c r="B53" s="37"/>
      <c r="C53" s="37"/>
      <c r="E53" s="117">
        <v>44199</v>
      </c>
      <c r="F53" s="37"/>
      <c r="G53" s="37"/>
      <c r="I53" s="117">
        <v>44199</v>
      </c>
      <c r="J53" s="37"/>
      <c r="K53" s="37"/>
      <c r="L53" s="37"/>
      <c r="M53" s="37"/>
      <c r="N53" s="117">
        <v>44199</v>
      </c>
      <c r="O53" s="37"/>
      <c r="P53" s="37"/>
      <c r="R53" s="37"/>
      <c r="S53" s="130"/>
      <c r="U53" s="152">
        <v>44199</v>
      </c>
      <c r="V53" s="37"/>
      <c r="W53" s="37"/>
      <c r="Y53" s="117">
        <v>44199</v>
      </c>
      <c r="Z53" s="37"/>
      <c r="AA53" s="37"/>
      <c r="AC53" s="117">
        <v>44199</v>
      </c>
      <c r="AD53" s="37"/>
      <c r="AE53" s="37"/>
      <c r="AG53" s="117">
        <v>44199</v>
      </c>
      <c r="AH53" s="37"/>
      <c r="AI53" s="37"/>
      <c r="AK53" s="117">
        <v>44199</v>
      </c>
      <c r="AL53" s="37"/>
      <c r="AM53" s="153"/>
      <c r="AO53" s="152">
        <v>44198</v>
      </c>
      <c r="AP53" s="37"/>
      <c r="AQ53" s="37"/>
      <c r="AS53" s="152">
        <v>44198</v>
      </c>
      <c r="AT53" s="37"/>
      <c r="AU53" s="37"/>
      <c r="AW53" s="152">
        <v>44198</v>
      </c>
      <c r="AX53" s="37"/>
      <c r="AY53" s="37"/>
      <c r="BA53" s="152">
        <v>44198</v>
      </c>
      <c r="BB53" s="37"/>
      <c r="BC53" s="37"/>
      <c r="BE53" s="152">
        <v>44198</v>
      </c>
      <c r="BF53" s="37"/>
      <c r="BG53" s="37"/>
      <c r="BI53" s="152">
        <v>44198</v>
      </c>
      <c r="BJ53" s="37"/>
      <c r="BK53" s="37"/>
      <c r="BM53" s="152">
        <v>44198</v>
      </c>
      <c r="BN53" s="37"/>
      <c r="BO53" s="37"/>
      <c r="BQ53" s="152">
        <v>44198</v>
      </c>
      <c r="BR53" s="37"/>
      <c r="BS53" s="37"/>
      <c r="BU53" s="152">
        <v>44198</v>
      </c>
      <c r="BV53" s="37"/>
      <c r="BW53" s="37"/>
      <c r="BY53" s="152">
        <v>44198</v>
      </c>
      <c r="BZ53" s="37"/>
      <c r="CA53" s="37"/>
    </row>
    <row r="54" spans="1:79">
      <c r="A54" s="131">
        <v>44200</v>
      </c>
      <c r="B54" s="79">
        <v>1</v>
      </c>
      <c r="C54" s="118">
        <f>EDATE($A54,1)-$C$49</f>
        <v>44230</v>
      </c>
      <c r="D54" s="119"/>
      <c r="E54" s="118">
        <v>44200</v>
      </c>
      <c r="F54" s="79">
        <v>1</v>
      </c>
      <c r="G54" s="118"/>
      <c r="H54" s="119"/>
      <c r="I54" s="118">
        <v>44200</v>
      </c>
      <c r="J54" s="79">
        <v>1</v>
      </c>
      <c r="K54" s="79"/>
      <c r="L54" s="119"/>
      <c r="M54" s="119"/>
      <c r="N54" s="118">
        <v>44200</v>
      </c>
      <c r="O54" s="79">
        <v>1</v>
      </c>
      <c r="P54" s="79">
        <v>1</v>
      </c>
      <c r="Q54" s="119"/>
      <c r="R54" s="79">
        <v>1</v>
      </c>
      <c r="S54" s="132"/>
      <c r="U54" s="154">
        <v>44200</v>
      </c>
      <c r="V54" s="79">
        <v>1</v>
      </c>
      <c r="W54" s="118">
        <f>EDATE($U54,1)-$W$49</f>
        <v>44230</v>
      </c>
      <c r="X54" s="119"/>
      <c r="Y54" s="118">
        <v>44200</v>
      </c>
      <c r="Z54" s="79">
        <v>1</v>
      </c>
      <c r="AA54" s="118">
        <f>EDATE(Y54,1)-1</f>
        <v>44230</v>
      </c>
      <c r="AC54" s="119">
        <v>44200</v>
      </c>
      <c r="AD54" s="79">
        <v>1</v>
      </c>
      <c r="AE54" s="118"/>
      <c r="AG54" s="118">
        <v>44200</v>
      </c>
      <c r="AH54" s="79">
        <v>1</v>
      </c>
      <c r="AI54" s="118"/>
      <c r="AK54" s="118">
        <v>44200</v>
      </c>
      <c r="AL54" s="57">
        <v>1</v>
      </c>
      <c r="AM54" s="155"/>
      <c r="AO54" s="152">
        <v>44199</v>
      </c>
      <c r="AP54" s="37"/>
      <c r="AQ54" s="37"/>
      <c r="AS54" s="152">
        <v>44199</v>
      </c>
      <c r="AT54" s="37"/>
      <c r="AU54" s="37"/>
      <c r="AW54" s="152">
        <v>44199</v>
      </c>
      <c r="AX54" s="37"/>
      <c r="AY54" s="37"/>
      <c r="BA54" s="152">
        <v>44199</v>
      </c>
      <c r="BB54" s="37"/>
      <c r="BC54" s="37"/>
      <c r="BE54" s="152">
        <v>44199</v>
      </c>
      <c r="BF54" s="37"/>
      <c r="BG54" s="37"/>
      <c r="BI54" s="152">
        <v>44199</v>
      </c>
      <c r="BJ54" s="37"/>
      <c r="BK54" s="37"/>
      <c r="BM54" s="152">
        <v>44199</v>
      </c>
      <c r="BN54" s="37"/>
      <c r="BO54" s="37"/>
      <c r="BQ54" s="152">
        <v>44199</v>
      </c>
      <c r="BR54" s="37"/>
      <c r="BS54" s="37"/>
      <c r="BU54" s="152">
        <v>44199</v>
      </c>
      <c r="BV54" s="37"/>
      <c r="BW54" s="37"/>
      <c r="BY54" s="152">
        <v>44199</v>
      </c>
      <c r="BZ54" s="37"/>
      <c r="CA54" s="37"/>
    </row>
    <row r="55" spans="1:79">
      <c r="A55" s="133">
        <v>44201</v>
      </c>
      <c r="C55" s="79"/>
      <c r="E55" s="118">
        <v>44201</v>
      </c>
      <c r="F55" s="79">
        <v>2</v>
      </c>
      <c r="G55" s="79"/>
      <c r="I55" s="118">
        <v>44201</v>
      </c>
      <c r="J55" s="79">
        <v>2</v>
      </c>
      <c r="K55" s="79"/>
      <c r="N55" s="118">
        <v>44201</v>
      </c>
      <c r="O55" s="79">
        <v>2</v>
      </c>
      <c r="P55" s="79">
        <v>2</v>
      </c>
      <c r="R55" s="79">
        <v>2</v>
      </c>
      <c r="S55" s="134"/>
      <c r="U55" s="156">
        <v>44201</v>
      </c>
      <c r="W55" s="79"/>
      <c r="Y55" s="118">
        <v>44201</v>
      </c>
      <c r="Z55" s="79">
        <v>2</v>
      </c>
      <c r="AA55" s="79"/>
      <c r="AC55" s="119">
        <v>44201</v>
      </c>
      <c r="AD55" s="79">
        <v>2</v>
      </c>
      <c r="AE55" s="79"/>
      <c r="AG55" s="118">
        <v>44201</v>
      </c>
      <c r="AH55" s="79">
        <v>2</v>
      </c>
      <c r="AI55" s="79"/>
      <c r="AK55" s="119">
        <v>44201</v>
      </c>
      <c r="AL55" s="79">
        <v>2</v>
      </c>
      <c r="AM55" s="149"/>
      <c r="AO55" s="154">
        <v>44200</v>
      </c>
      <c r="AP55" s="79">
        <v>1</v>
      </c>
      <c r="AQ55" s="118"/>
      <c r="AR55" s="119"/>
      <c r="AS55" s="154">
        <v>44200</v>
      </c>
      <c r="AT55" s="79">
        <v>1</v>
      </c>
      <c r="AU55" s="118"/>
      <c r="AW55" s="154">
        <v>44200</v>
      </c>
      <c r="AX55" s="79">
        <v>1</v>
      </c>
      <c r="AY55" s="118"/>
      <c r="BA55" s="154">
        <v>44200</v>
      </c>
      <c r="BB55" s="79">
        <v>1</v>
      </c>
      <c r="BC55" s="118"/>
      <c r="BE55" s="154">
        <v>44200</v>
      </c>
      <c r="BF55" s="79">
        <v>1</v>
      </c>
      <c r="BG55" s="118"/>
      <c r="BI55" s="154">
        <v>44200</v>
      </c>
      <c r="BJ55" s="79">
        <v>1</v>
      </c>
      <c r="BK55" s="118"/>
      <c r="BL55" s="119"/>
      <c r="BM55" s="154">
        <v>44200</v>
      </c>
      <c r="BN55" s="79">
        <v>1</v>
      </c>
      <c r="BO55" s="118"/>
      <c r="BQ55" s="154">
        <v>44200</v>
      </c>
      <c r="BR55" s="79">
        <v>1</v>
      </c>
      <c r="BS55" s="118"/>
      <c r="BU55" s="154">
        <v>44200</v>
      </c>
      <c r="BV55" s="79">
        <v>1</v>
      </c>
      <c r="BW55" s="118"/>
      <c r="BY55" s="154">
        <v>44200</v>
      </c>
      <c r="BZ55" s="79">
        <v>1</v>
      </c>
      <c r="CA55" s="118"/>
    </row>
    <row r="56" spans="1:79">
      <c r="A56" s="133">
        <v>44202</v>
      </c>
      <c r="C56" s="79"/>
      <c r="E56" s="119">
        <v>44202</v>
      </c>
      <c r="G56" s="79"/>
      <c r="I56" s="118">
        <v>44202</v>
      </c>
      <c r="J56" s="79">
        <v>3</v>
      </c>
      <c r="K56" s="79"/>
      <c r="N56" s="118">
        <v>44202</v>
      </c>
      <c r="O56" s="79">
        <v>3</v>
      </c>
      <c r="P56" s="79">
        <v>3</v>
      </c>
      <c r="R56" s="79">
        <v>3</v>
      </c>
      <c r="S56" s="134"/>
      <c r="U56" s="156">
        <v>44202</v>
      </c>
      <c r="W56" s="79"/>
      <c r="Y56" s="119">
        <v>44202</v>
      </c>
      <c r="AA56" s="79"/>
      <c r="AC56" s="119">
        <v>44202</v>
      </c>
      <c r="AD56" s="79">
        <v>3</v>
      </c>
      <c r="AE56" s="79"/>
      <c r="AG56" s="118">
        <v>44202</v>
      </c>
      <c r="AH56" s="79">
        <v>3</v>
      </c>
      <c r="AI56" s="79"/>
      <c r="AK56" s="119">
        <v>44202</v>
      </c>
      <c r="AL56" s="79">
        <v>3</v>
      </c>
      <c r="AM56" s="149"/>
      <c r="AO56" s="156">
        <v>44201</v>
      </c>
      <c r="AQ56" s="79"/>
      <c r="AS56" s="156">
        <v>44201</v>
      </c>
      <c r="AT56">
        <v>2</v>
      </c>
      <c r="AU56" s="79"/>
      <c r="AW56" s="156">
        <v>44201</v>
      </c>
      <c r="AX56">
        <v>2</v>
      </c>
      <c r="AY56" s="79"/>
      <c r="BA56" s="156">
        <v>44201</v>
      </c>
      <c r="BB56">
        <v>2</v>
      </c>
      <c r="BC56" s="79"/>
      <c r="BE56" s="156">
        <v>44201</v>
      </c>
      <c r="BF56" s="79">
        <v>2</v>
      </c>
      <c r="BG56" s="79"/>
      <c r="BI56" s="156">
        <v>44201</v>
      </c>
      <c r="BK56" s="79"/>
      <c r="BM56" s="156">
        <v>44201</v>
      </c>
      <c r="BN56">
        <v>2</v>
      </c>
      <c r="BO56" s="79"/>
      <c r="BQ56" s="156">
        <v>44201</v>
      </c>
      <c r="BR56">
        <v>2</v>
      </c>
      <c r="BS56" s="79"/>
      <c r="BU56" s="156">
        <v>44201</v>
      </c>
      <c r="BV56">
        <v>2</v>
      </c>
      <c r="BW56" s="79"/>
      <c r="BY56" s="156">
        <v>44201</v>
      </c>
      <c r="BZ56" s="79">
        <v>2</v>
      </c>
      <c r="CA56" s="79"/>
    </row>
    <row r="57" spans="1:79">
      <c r="A57" s="133">
        <v>44203</v>
      </c>
      <c r="C57" s="79"/>
      <c r="E57" s="119">
        <v>44203</v>
      </c>
      <c r="G57" s="79"/>
      <c r="I57" s="119">
        <v>44203</v>
      </c>
      <c r="K57" s="79"/>
      <c r="N57" s="118">
        <v>44203</v>
      </c>
      <c r="O57" s="79">
        <v>4</v>
      </c>
      <c r="P57" s="79">
        <v>4</v>
      </c>
      <c r="R57" s="79">
        <v>4</v>
      </c>
      <c r="S57" s="134"/>
      <c r="U57" s="156">
        <v>44203</v>
      </c>
      <c r="W57" s="79"/>
      <c r="Y57" s="119">
        <v>44203</v>
      </c>
      <c r="AA57" s="79"/>
      <c r="AC57" s="119">
        <v>44203</v>
      </c>
      <c r="AE57" s="79"/>
      <c r="AG57" s="118">
        <v>44203</v>
      </c>
      <c r="AH57" s="79">
        <v>4</v>
      </c>
      <c r="AI57" s="79"/>
      <c r="AK57" s="119">
        <v>44203</v>
      </c>
      <c r="AL57" s="79">
        <v>4</v>
      </c>
      <c r="AM57" s="149"/>
      <c r="AO57" s="156">
        <v>44202</v>
      </c>
      <c r="AQ57" s="79"/>
      <c r="AS57" s="156">
        <v>44202</v>
      </c>
      <c r="AU57" s="79"/>
      <c r="AW57" s="156">
        <v>44202</v>
      </c>
      <c r="AX57">
        <v>3</v>
      </c>
      <c r="AY57" s="79"/>
      <c r="BA57" s="156">
        <v>44202</v>
      </c>
      <c r="BB57" s="79">
        <v>3</v>
      </c>
      <c r="BC57" s="79"/>
      <c r="BE57" s="156">
        <v>44202</v>
      </c>
      <c r="BF57" s="79">
        <v>3</v>
      </c>
      <c r="BG57" s="79"/>
      <c r="BI57" s="156">
        <v>44202</v>
      </c>
      <c r="BK57" s="79"/>
      <c r="BM57" s="156">
        <v>44202</v>
      </c>
      <c r="BO57" s="79"/>
      <c r="BQ57" s="156">
        <v>44202</v>
      </c>
      <c r="BR57">
        <v>3</v>
      </c>
      <c r="BS57" s="79"/>
      <c r="BU57" s="156">
        <v>44202</v>
      </c>
      <c r="BV57" s="79">
        <v>3</v>
      </c>
      <c r="BW57" s="79"/>
      <c r="BY57" s="156">
        <v>44202</v>
      </c>
      <c r="BZ57" s="79">
        <v>3</v>
      </c>
      <c r="CA57" s="79"/>
    </row>
    <row r="58" spans="1:79">
      <c r="A58" s="133">
        <v>44204</v>
      </c>
      <c r="C58" s="79"/>
      <c r="E58" s="119">
        <v>44204</v>
      </c>
      <c r="G58" s="79"/>
      <c r="I58" s="119">
        <v>44204</v>
      </c>
      <c r="K58" s="79"/>
      <c r="N58" s="119">
        <v>44204</v>
      </c>
      <c r="R58" s="79">
        <v>5</v>
      </c>
      <c r="S58" s="134"/>
      <c r="U58" s="156">
        <v>44204</v>
      </c>
      <c r="W58" s="79"/>
      <c r="Y58" s="119">
        <v>44204</v>
      </c>
      <c r="AA58" s="79"/>
      <c r="AC58" s="119">
        <v>44204</v>
      </c>
      <c r="AE58" s="79"/>
      <c r="AG58" s="119">
        <v>44204</v>
      </c>
      <c r="AI58" s="79"/>
      <c r="AK58" s="119">
        <v>44204</v>
      </c>
      <c r="AL58" s="79">
        <v>5</v>
      </c>
      <c r="AM58" s="149"/>
      <c r="AO58" s="156">
        <v>44203</v>
      </c>
      <c r="AQ58" s="79"/>
      <c r="AS58" s="156">
        <v>44203</v>
      </c>
      <c r="AU58" s="79"/>
      <c r="AW58" s="156">
        <v>44203</v>
      </c>
      <c r="AY58" s="79"/>
      <c r="BA58" s="156">
        <v>44203</v>
      </c>
      <c r="BB58">
        <v>4</v>
      </c>
      <c r="BC58" s="79"/>
      <c r="BE58" s="156">
        <v>44203</v>
      </c>
      <c r="BF58" s="79">
        <v>4</v>
      </c>
      <c r="BG58" s="79"/>
      <c r="BI58" s="156">
        <v>44203</v>
      </c>
      <c r="BK58" s="79"/>
      <c r="BM58" s="156">
        <v>44203</v>
      </c>
      <c r="BO58" s="79"/>
      <c r="BQ58" s="156">
        <v>44203</v>
      </c>
      <c r="BS58" s="79"/>
      <c r="BU58" s="156">
        <v>44203</v>
      </c>
      <c r="BV58">
        <v>4</v>
      </c>
      <c r="BW58" s="79"/>
      <c r="BY58" s="156">
        <v>44203</v>
      </c>
      <c r="BZ58" s="79">
        <v>4</v>
      </c>
      <c r="CA58" s="79"/>
    </row>
    <row r="59" spans="1:79">
      <c r="A59" s="129">
        <v>44205</v>
      </c>
      <c r="B59" s="37"/>
      <c r="C59" s="79"/>
      <c r="E59" s="117">
        <v>44205</v>
      </c>
      <c r="F59" s="37"/>
      <c r="G59" s="79"/>
      <c r="I59" s="117">
        <v>44205</v>
      </c>
      <c r="J59" s="37"/>
      <c r="K59" s="79"/>
      <c r="L59" s="37"/>
      <c r="M59" s="37"/>
      <c r="N59" s="117">
        <v>44205</v>
      </c>
      <c r="O59" s="37"/>
      <c r="P59" s="37"/>
      <c r="R59" s="37"/>
      <c r="S59" s="130"/>
      <c r="U59" s="152">
        <v>44205</v>
      </c>
      <c r="V59" s="37"/>
      <c r="W59" s="79"/>
      <c r="Y59" s="117">
        <v>44205</v>
      </c>
      <c r="Z59" s="37"/>
      <c r="AA59" s="79"/>
      <c r="AC59" s="117">
        <v>44205</v>
      </c>
      <c r="AD59" s="37"/>
      <c r="AE59" s="79"/>
      <c r="AG59" s="117">
        <v>44205</v>
      </c>
      <c r="AH59" s="37"/>
      <c r="AI59" s="79"/>
      <c r="AK59" s="117">
        <v>44205</v>
      </c>
      <c r="AL59" s="37"/>
      <c r="AM59" s="149"/>
      <c r="AO59" s="156">
        <v>44204</v>
      </c>
      <c r="AQ59" s="79"/>
      <c r="AS59" s="156">
        <v>44204</v>
      </c>
      <c r="AU59" s="79"/>
      <c r="AW59" s="156">
        <v>44204</v>
      </c>
      <c r="AY59" s="79"/>
      <c r="BA59" s="156">
        <v>44204</v>
      </c>
      <c r="BC59" s="79"/>
      <c r="BE59" s="156">
        <v>44204</v>
      </c>
      <c r="BF59" s="79">
        <v>5</v>
      </c>
      <c r="BG59" s="79"/>
      <c r="BI59" s="156">
        <v>44204</v>
      </c>
      <c r="BK59" s="79"/>
      <c r="BM59" s="156">
        <v>44204</v>
      </c>
      <c r="BO59" s="79"/>
      <c r="BQ59" s="156">
        <v>44204</v>
      </c>
      <c r="BS59" s="79"/>
      <c r="BU59" s="156">
        <v>44204</v>
      </c>
      <c r="BW59" s="79"/>
      <c r="BY59" s="156">
        <v>44204</v>
      </c>
      <c r="BZ59" s="79">
        <v>5</v>
      </c>
      <c r="CA59" s="79"/>
    </row>
    <row r="60" spans="1:79">
      <c r="A60" s="129">
        <v>44206</v>
      </c>
      <c r="B60" s="37"/>
      <c r="C60" s="79"/>
      <c r="E60" s="117">
        <v>44206</v>
      </c>
      <c r="F60" s="37"/>
      <c r="G60" s="79"/>
      <c r="I60" s="117">
        <v>44206</v>
      </c>
      <c r="J60" s="37"/>
      <c r="K60" s="79"/>
      <c r="L60" s="37"/>
      <c r="M60" s="37"/>
      <c r="N60" s="117">
        <v>44206</v>
      </c>
      <c r="O60" s="37"/>
      <c r="P60" s="37"/>
      <c r="R60" s="37"/>
      <c r="S60" s="130"/>
      <c r="U60" s="152">
        <v>44206</v>
      </c>
      <c r="V60" s="37"/>
      <c r="W60" s="79"/>
      <c r="Y60" s="117">
        <v>44206</v>
      </c>
      <c r="Z60" s="37"/>
      <c r="AA60" s="79"/>
      <c r="AC60" s="117">
        <v>44206</v>
      </c>
      <c r="AD60" s="37"/>
      <c r="AE60" s="79"/>
      <c r="AG60" s="117">
        <v>44206</v>
      </c>
      <c r="AH60" s="37"/>
      <c r="AI60" s="79"/>
      <c r="AK60" s="117">
        <v>44206</v>
      </c>
      <c r="AL60" s="37"/>
      <c r="AM60" s="149"/>
      <c r="AO60" s="152">
        <v>44205</v>
      </c>
      <c r="AP60" s="37"/>
      <c r="AQ60" s="79"/>
      <c r="AS60" s="152">
        <v>44205</v>
      </c>
      <c r="AT60" s="37"/>
      <c r="AU60" s="79"/>
      <c r="AW60" s="152">
        <v>44205</v>
      </c>
      <c r="AX60" s="37"/>
      <c r="AY60" s="79"/>
      <c r="BA60" s="152">
        <v>44205</v>
      </c>
      <c r="BB60" s="37"/>
      <c r="BC60" s="79"/>
      <c r="BE60" s="152">
        <v>44205</v>
      </c>
      <c r="BF60" s="37"/>
      <c r="BG60" s="79"/>
      <c r="BI60" s="152">
        <v>44205</v>
      </c>
      <c r="BJ60" s="37"/>
      <c r="BK60" s="79"/>
      <c r="BM60" s="152">
        <v>44205</v>
      </c>
      <c r="BN60" s="37"/>
      <c r="BO60" s="79"/>
      <c r="BQ60" s="152">
        <v>44205</v>
      </c>
      <c r="BR60" s="37"/>
      <c r="BS60" s="79"/>
      <c r="BU60" s="152">
        <v>44205</v>
      </c>
      <c r="BV60" s="37"/>
      <c r="BW60" s="79"/>
      <c r="BY60" s="152">
        <v>44205</v>
      </c>
      <c r="BZ60" s="37"/>
      <c r="CA60" s="79"/>
    </row>
    <row r="61" spans="1:79">
      <c r="A61" s="131">
        <v>44207</v>
      </c>
      <c r="B61" s="79">
        <v>2</v>
      </c>
      <c r="C61" s="79"/>
      <c r="E61" s="118">
        <v>44207</v>
      </c>
      <c r="F61" s="79">
        <v>3</v>
      </c>
      <c r="G61" s="79"/>
      <c r="I61" s="118">
        <v>44207</v>
      </c>
      <c r="J61" s="79">
        <v>4</v>
      </c>
      <c r="K61" s="79"/>
      <c r="N61" s="118">
        <v>44207</v>
      </c>
      <c r="O61" s="79">
        <v>5</v>
      </c>
      <c r="P61" s="79">
        <v>1</v>
      </c>
      <c r="R61" s="79">
        <v>6</v>
      </c>
      <c r="S61" s="134"/>
      <c r="U61" s="154">
        <v>44207</v>
      </c>
      <c r="V61" s="79">
        <v>2</v>
      </c>
      <c r="W61" s="79"/>
      <c r="Y61" s="118">
        <v>44207</v>
      </c>
      <c r="Z61" s="79">
        <v>3</v>
      </c>
      <c r="AA61" s="79"/>
      <c r="AC61" s="119">
        <v>44207</v>
      </c>
      <c r="AD61" s="79">
        <v>4</v>
      </c>
      <c r="AE61" s="79"/>
      <c r="AG61" s="118">
        <v>44207</v>
      </c>
      <c r="AH61" s="79">
        <v>5</v>
      </c>
      <c r="AI61" s="79"/>
      <c r="AK61" s="118">
        <v>44207</v>
      </c>
      <c r="AL61" s="79">
        <v>6</v>
      </c>
      <c r="AM61" s="149"/>
      <c r="AO61" s="152">
        <v>44206</v>
      </c>
      <c r="AP61" s="37"/>
      <c r="AQ61" s="79"/>
      <c r="AS61" s="152">
        <v>44206</v>
      </c>
      <c r="AT61" s="37"/>
      <c r="AU61" s="79"/>
      <c r="AW61" s="152">
        <v>44206</v>
      </c>
      <c r="AX61" s="37"/>
      <c r="AY61" s="79"/>
      <c r="BA61" s="152">
        <v>44206</v>
      </c>
      <c r="BB61" s="37"/>
      <c r="BC61" s="79"/>
      <c r="BE61" s="152">
        <v>44206</v>
      </c>
      <c r="BF61" s="37"/>
      <c r="BG61" s="79"/>
      <c r="BI61" s="152">
        <v>44206</v>
      </c>
      <c r="BJ61" s="37"/>
      <c r="BK61" s="79"/>
      <c r="BM61" s="152">
        <v>44206</v>
      </c>
      <c r="BN61" s="37"/>
      <c r="BO61" s="79"/>
      <c r="BQ61" s="152">
        <v>44206</v>
      </c>
      <c r="BR61" s="37"/>
      <c r="BS61" s="79"/>
      <c r="BU61" s="152">
        <v>44206</v>
      </c>
      <c r="BV61" s="37"/>
      <c r="BW61" s="79"/>
      <c r="BY61" s="152">
        <v>44206</v>
      </c>
      <c r="BZ61" s="37"/>
      <c r="CA61" s="79"/>
    </row>
    <row r="62" spans="1:79">
      <c r="A62" s="133">
        <v>44208</v>
      </c>
      <c r="C62" s="79"/>
      <c r="E62" s="118">
        <v>44208</v>
      </c>
      <c r="F62" s="79">
        <v>4</v>
      </c>
      <c r="G62" s="79"/>
      <c r="I62" s="118">
        <v>44208</v>
      </c>
      <c r="J62" s="79">
        <v>5</v>
      </c>
      <c r="K62" s="79"/>
      <c r="N62" s="118">
        <v>44208</v>
      </c>
      <c r="O62" s="79">
        <v>6</v>
      </c>
      <c r="P62" s="79">
        <v>2</v>
      </c>
      <c r="R62" s="120">
        <v>1</v>
      </c>
      <c r="S62" s="135"/>
      <c r="U62" s="156">
        <v>44208</v>
      </c>
      <c r="W62" s="79"/>
      <c r="Y62" s="118">
        <v>44208</v>
      </c>
      <c r="Z62" s="79">
        <v>4</v>
      </c>
      <c r="AA62" s="79"/>
      <c r="AC62" s="119">
        <v>44208</v>
      </c>
      <c r="AD62" s="79">
        <v>5</v>
      </c>
      <c r="AE62" s="79"/>
      <c r="AG62" s="118">
        <v>44208</v>
      </c>
      <c r="AH62" s="79">
        <v>6</v>
      </c>
      <c r="AI62" s="79"/>
      <c r="AK62" s="119">
        <v>44208</v>
      </c>
      <c r="AL62" s="79">
        <v>7</v>
      </c>
      <c r="AM62" s="149"/>
      <c r="AO62" s="154">
        <v>44207</v>
      </c>
      <c r="AP62" s="79">
        <v>2</v>
      </c>
      <c r="AQ62" s="79"/>
      <c r="AS62" s="154">
        <v>44207</v>
      </c>
      <c r="AT62" s="79">
        <v>3</v>
      </c>
      <c r="AU62" s="79"/>
      <c r="AW62" s="154">
        <v>44207</v>
      </c>
      <c r="AX62" s="79">
        <v>4</v>
      </c>
      <c r="AY62" s="79"/>
      <c r="BA62" s="154">
        <v>44207</v>
      </c>
      <c r="BB62" s="79">
        <v>5</v>
      </c>
      <c r="BC62" s="79"/>
      <c r="BE62" s="154">
        <v>44207</v>
      </c>
      <c r="BF62" s="79">
        <v>6</v>
      </c>
      <c r="BG62" s="79"/>
      <c r="BI62" s="154">
        <v>44207</v>
      </c>
      <c r="BJ62" s="79">
        <v>2</v>
      </c>
      <c r="BK62" s="79"/>
      <c r="BM62" s="154">
        <v>44207</v>
      </c>
      <c r="BN62" s="79">
        <v>3</v>
      </c>
      <c r="BO62" s="79"/>
      <c r="BQ62" s="154">
        <v>44207</v>
      </c>
      <c r="BR62" s="79">
        <v>4</v>
      </c>
      <c r="BS62" s="79"/>
      <c r="BU62" s="154">
        <v>44207</v>
      </c>
      <c r="BV62" s="79">
        <v>5</v>
      </c>
      <c r="BW62" s="79"/>
      <c r="BY62" s="154">
        <v>44207</v>
      </c>
      <c r="BZ62" s="79">
        <v>6</v>
      </c>
      <c r="CA62" s="79"/>
    </row>
    <row r="63" spans="1:79">
      <c r="A63" s="133">
        <v>44209</v>
      </c>
      <c r="C63" s="79"/>
      <c r="D63" s="119"/>
      <c r="E63" s="119">
        <v>44209</v>
      </c>
      <c r="G63" s="79"/>
      <c r="H63" s="119"/>
      <c r="I63" s="118">
        <v>44209</v>
      </c>
      <c r="J63" s="79">
        <v>6</v>
      </c>
      <c r="K63" s="79"/>
      <c r="L63" s="119"/>
      <c r="M63" s="119"/>
      <c r="N63" s="121" t="s">
        <v>85</v>
      </c>
      <c r="O63" s="121">
        <f>COUNTA(O54:O62)</f>
        <v>6</v>
      </c>
      <c r="P63" s="122">
        <f>IF(O63&lt;=$A$45,1,O63/$A$45)</f>
        <v>1</v>
      </c>
      <c r="Q63" s="119"/>
      <c r="R63" s="120">
        <v>2</v>
      </c>
      <c r="S63" s="125"/>
      <c r="U63" s="156">
        <v>44209</v>
      </c>
      <c r="W63" s="118"/>
      <c r="X63" s="119"/>
      <c r="Y63" s="119">
        <v>44209</v>
      </c>
      <c r="AA63" s="118"/>
      <c r="AC63" s="119">
        <v>44209</v>
      </c>
      <c r="AD63" s="79">
        <v>6</v>
      </c>
      <c r="AE63" s="118"/>
      <c r="AG63" s="118">
        <v>44209</v>
      </c>
      <c r="AH63" s="79">
        <v>7</v>
      </c>
      <c r="AI63" s="118"/>
      <c r="AK63" s="119">
        <v>44209</v>
      </c>
      <c r="AL63" s="79">
        <v>8</v>
      </c>
      <c r="AM63" s="157"/>
      <c r="AO63" s="156">
        <v>44208</v>
      </c>
      <c r="AQ63" s="79"/>
      <c r="AS63" s="156">
        <v>44208</v>
      </c>
      <c r="AT63">
        <v>4</v>
      </c>
      <c r="AU63" s="79"/>
      <c r="AW63" s="156">
        <v>44208</v>
      </c>
      <c r="AX63">
        <v>5</v>
      </c>
      <c r="AY63" s="79"/>
      <c r="BA63" s="156">
        <v>44208</v>
      </c>
      <c r="BB63" s="79">
        <v>6</v>
      </c>
      <c r="BC63" s="79"/>
      <c r="BE63" s="156">
        <v>44208</v>
      </c>
      <c r="BF63" s="79">
        <v>7</v>
      </c>
      <c r="BG63" s="79"/>
      <c r="BI63" s="156">
        <v>44208</v>
      </c>
      <c r="BK63" s="79"/>
      <c r="BM63" s="156">
        <v>44208</v>
      </c>
      <c r="BN63">
        <v>4</v>
      </c>
      <c r="BO63" s="79"/>
      <c r="BQ63" s="156">
        <v>44208</v>
      </c>
      <c r="BR63">
        <v>5</v>
      </c>
      <c r="BS63" s="79"/>
      <c r="BU63" s="156">
        <v>44208</v>
      </c>
      <c r="BV63" s="79">
        <v>6</v>
      </c>
      <c r="BW63" s="79"/>
      <c r="BY63" s="156">
        <v>44208</v>
      </c>
      <c r="BZ63" s="79">
        <v>7</v>
      </c>
      <c r="CA63" s="79"/>
    </row>
    <row r="64" spans="1:79">
      <c r="A64" s="133">
        <v>44210</v>
      </c>
      <c r="C64" s="79"/>
      <c r="E64" s="119">
        <v>44210</v>
      </c>
      <c r="G64" s="79"/>
      <c r="I64" s="121" t="s">
        <v>85</v>
      </c>
      <c r="J64" s="121">
        <f>COUNTA(J54:J63)</f>
        <v>6</v>
      </c>
      <c r="K64" s="122">
        <f>IF(J64&lt;=$A$45,1,J64/$A$45)</f>
        <v>1</v>
      </c>
      <c r="N64" s="80">
        <v>44209</v>
      </c>
      <c r="O64" s="120">
        <v>1</v>
      </c>
      <c r="P64" s="120">
        <v>3</v>
      </c>
      <c r="R64" s="120">
        <v>3</v>
      </c>
      <c r="S64" s="125"/>
      <c r="U64" s="156">
        <v>44210</v>
      </c>
      <c r="W64" s="79"/>
      <c r="Y64" s="119">
        <v>44210</v>
      </c>
      <c r="AA64" s="79"/>
      <c r="AC64" s="119">
        <v>44210</v>
      </c>
      <c r="AE64" s="79"/>
      <c r="AG64" s="118">
        <v>44210</v>
      </c>
      <c r="AH64" s="79">
        <v>8</v>
      </c>
      <c r="AI64" s="79"/>
      <c r="AK64" s="119">
        <v>44210</v>
      </c>
      <c r="AL64" s="79">
        <v>9</v>
      </c>
      <c r="AM64" s="149"/>
      <c r="AO64" s="156">
        <v>44209</v>
      </c>
      <c r="AQ64" s="118"/>
      <c r="AR64" s="119"/>
      <c r="AS64" s="156">
        <v>44209</v>
      </c>
      <c r="AU64" s="118"/>
      <c r="AW64" s="156">
        <v>44209</v>
      </c>
      <c r="AX64">
        <v>6</v>
      </c>
      <c r="AY64" s="118"/>
      <c r="BA64" s="156">
        <v>44209</v>
      </c>
      <c r="BB64" s="79">
        <v>7</v>
      </c>
      <c r="BC64" s="118"/>
      <c r="BE64" s="156">
        <v>44209</v>
      </c>
      <c r="BF64" s="79">
        <v>8</v>
      </c>
      <c r="BG64" s="118"/>
      <c r="BI64" s="156">
        <v>44209</v>
      </c>
      <c r="BK64" s="118"/>
      <c r="BL64" s="119"/>
      <c r="BM64" s="156">
        <v>44209</v>
      </c>
      <c r="BO64" s="118"/>
      <c r="BQ64" s="156">
        <v>44209</v>
      </c>
      <c r="BR64">
        <v>6</v>
      </c>
      <c r="BS64" s="118"/>
      <c r="BU64" s="156">
        <v>44209</v>
      </c>
      <c r="BV64" s="79">
        <v>7</v>
      </c>
      <c r="BW64" s="118"/>
      <c r="BY64" s="156">
        <v>44209</v>
      </c>
      <c r="BZ64" s="79">
        <v>8</v>
      </c>
      <c r="CA64" s="118"/>
    </row>
    <row r="65" spans="1:79">
      <c r="A65" s="133">
        <v>44211</v>
      </c>
      <c r="C65" s="79"/>
      <c r="E65" s="119">
        <v>44211</v>
      </c>
      <c r="G65" s="79"/>
      <c r="I65" s="119">
        <v>44210</v>
      </c>
      <c r="N65" s="80">
        <v>44210</v>
      </c>
      <c r="O65" s="120">
        <v>2</v>
      </c>
      <c r="P65" s="120">
        <v>4</v>
      </c>
      <c r="R65" s="120">
        <v>4</v>
      </c>
      <c r="S65" s="125"/>
      <c r="U65" s="156">
        <v>44211</v>
      </c>
      <c r="W65" s="79"/>
      <c r="Y65" s="119">
        <v>44211</v>
      </c>
      <c r="AA65" s="79"/>
      <c r="AC65" s="119">
        <v>44211</v>
      </c>
      <c r="AE65" s="79"/>
      <c r="AG65" s="119">
        <v>44211</v>
      </c>
      <c r="AI65" s="79"/>
      <c r="AK65" s="119">
        <v>44211</v>
      </c>
      <c r="AL65" s="79">
        <v>10</v>
      </c>
      <c r="AM65" s="149"/>
      <c r="AO65" s="156">
        <v>44210</v>
      </c>
      <c r="AQ65" s="79"/>
      <c r="AS65" s="156">
        <v>44210</v>
      </c>
      <c r="AU65" s="79"/>
      <c r="AW65" s="156">
        <v>44210</v>
      </c>
      <c r="AY65" s="79"/>
      <c r="BA65" s="156">
        <v>44210</v>
      </c>
      <c r="BB65" s="79">
        <v>8</v>
      </c>
      <c r="BC65" s="79"/>
      <c r="BE65" s="156">
        <v>44210</v>
      </c>
      <c r="BF65" s="79">
        <v>9</v>
      </c>
      <c r="BG65" s="79"/>
      <c r="BI65" s="156">
        <v>44210</v>
      </c>
      <c r="BK65" s="79"/>
      <c r="BM65" s="156">
        <v>44210</v>
      </c>
      <c r="BO65" s="79"/>
      <c r="BQ65" s="156">
        <v>44210</v>
      </c>
      <c r="BS65" s="79"/>
      <c r="BU65" s="156">
        <v>44210</v>
      </c>
      <c r="BV65" s="79">
        <v>8</v>
      </c>
      <c r="BW65" s="79"/>
      <c r="BY65" s="156">
        <v>44210</v>
      </c>
      <c r="BZ65" s="79">
        <v>9</v>
      </c>
      <c r="CA65" s="79"/>
    </row>
    <row r="66" spans="1:79">
      <c r="A66" s="129">
        <v>44212</v>
      </c>
      <c r="B66" s="37"/>
      <c r="C66" s="79"/>
      <c r="E66" s="117">
        <v>44212</v>
      </c>
      <c r="F66" s="37"/>
      <c r="G66" s="79"/>
      <c r="I66" s="119">
        <v>44211</v>
      </c>
      <c r="L66" s="37"/>
      <c r="M66" s="37"/>
      <c r="N66" s="119">
        <v>44211</v>
      </c>
      <c r="R66" s="37"/>
      <c r="S66" s="130"/>
      <c r="U66" s="152">
        <v>44212</v>
      </c>
      <c r="V66" s="37"/>
      <c r="W66" s="79"/>
      <c r="Y66" s="117">
        <v>44212</v>
      </c>
      <c r="Z66" s="37"/>
      <c r="AA66" s="79"/>
      <c r="AC66" s="117">
        <v>44212</v>
      </c>
      <c r="AD66" s="37"/>
      <c r="AE66" s="79"/>
      <c r="AG66" s="117">
        <v>44212</v>
      </c>
      <c r="AH66" s="37"/>
      <c r="AI66" s="79"/>
      <c r="AK66" s="121" t="s">
        <v>85</v>
      </c>
      <c r="AL66" s="121">
        <f>COUNTA(AL54:AL65)</f>
        <v>10</v>
      </c>
      <c r="AM66" s="158">
        <f>IF(AL66&lt;=$U$45,1,AL66/$U$45)</f>
        <v>1</v>
      </c>
      <c r="AO66" s="156">
        <v>44211</v>
      </c>
      <c r="AQ66" s="79"/>
      <c r="AS66" s="156">
        <v>44211</v>
      </c>
      <c r="AU66" s="79"/>
      <c r="AW66" s="156">
        <v>44211</v>
      </c>
      <c r="AY66" s="79"/>
      <c r="BA66" s="156">
        <v>44211</v>
      </c>
      <c r="BC66" s="79"/>
      <c r="BE66" s="156">
        <v>44211</v>
      </c>
      <c r="BF66" s="79">
        <v>10</v>
      </c>
      <c r="BG66" s="79"/>
      <c r="BI66" s="156">
        <v>44211</v>
      </c>
      <c r="BK66" s="79"/>
      <c r="BM66" s="156">
        <v>44211</v>
      </c>
      <c r="BO66" s="79"/>
      <c r="BQ66" s="156">
        <v>44211</v>
      </c>
      <c r="BS66" s="79"/>
      <c r="BU66" s="156">
        <v>44211</v>
      </c>
      <c r="BW66" s="79"/>
      <c r="BY66" s="156">
        <v>44211</v>
      </c>
      <c r="BZ66" s="79">
        <v>10</v>
      </c>
      <c r="CA66" s="79"/>
    </row>
    <row r="67" spans="1:79">
      <c r="A67" s="129">
        <v>44213</v>
      </c>
      <c r="B67" s="37"/>
      <c r="C67" s="79"/>
      <c r="E67" s="117">
        <v>44213</v>
      </c>
      <c r="F67" s="37"/>
      <c r="G67" s="79"/>
      <c r="I67" s="117">
        <v>44212</v>
      </c>
      <c r="J67" s="37"/>
      <c r="K67" s="37"/>
      <c r="L67" s="37"/>
      <c r="M67" s="37"/>
      <c r="N67" s="117">
        <v>44212</v>
      </c>
      <c r="O67" s="37"/>
      <c r="P67" s="37"/>
      <c r="R67" s="37"/>
      <c r="S67" s="130"/>
      <c r="U67" s="152">
        <v>44213</v>
      </c>
      <c r="V67" s="37"/>
      <c r="W67" s="79"/>
      <c r="Y67" s="117">
        <v>44213</v>
      </c>
      <c r="Z67" s="37"/>
      <c r="AA67" s="79"/>
      <c r="AC67" s="117">
        <v>44213</v>
      </c>
      <c r="AD67" s="37"/>
      <c r="AE67" s="79"/>
      <c r="AG67" s="117">
        <v>44213</v>
      </c>
      <c r="AH67" s="37"/>
      <c r="AI67" s="79"/>
      <c r="AK67" s="117">
        <v>44212</v>
      </c>
      <c r="AL67" s="37"/>
      <c r="AM67" s="149"/>
      <c r="AO67" s="152">
        <v>44212</v>
      </c>
      <c r="AP67" s="37"/>
      <c r="AQ67" s="79"/>
      <c r="AS67" s="152">
        <v>44212</v>
      </c>
      <c r="AT67" s="37"/>
      <c r="AU67" s="79"/>
      <c r="AW67" s="152">
        <v>44212</v>
      </c>
      <c r="AX67" s="37"/>
      <c r="AY67" s="79"/>
      <c r="BA67" s="152">
        <v>44212</v>
      </c>
      <c r="BB67" s="37"/>
      <c r="BC67" s="79"/>
      <c r="BE67" s="152">
        <v>44212</v>
      </c>
      <c r="BF67" s="37"/>
      <c r="BG67" s="79"/>
      <c r="BI67" s="152">
        <v>44212</v>
      </c>
      <c r="BJ67" s="37"/>
      <c r="BK67" s="79"/>
      <c r="BM67" s="152">
        <v>44212</v>
      </c>
      <c r="BN67" s="37"/>
      <c r="BO67" s="79"/>
      <c r="BQ67" s="152">
        <v>44212</v>
      </c>
      <c r="BR67" s="37"/>
      <c r="BS67" s="79"/>
      <c r="BU67" s="152">
        <v>44212</v>
      </c>
      <c r="BV67" s="37"/>
      <c r="BW67" s="79"/>
      <c r="BY67" s="152">
        <v>44212</v>
      </c>
      <c r="BZ67" s="37"/>
      <c r="CA67" s="79"/>
    </row>
    <row r="68" spans="1:79">
      <c r="A68" s="131">
        <v>44214</v>
      </c>
      <c r="B68" s="79">
        <v>3</v>
      </c>
      <c r="C68" s="79"/>
      <c r="E68" s="118">
        <v>44214</v>
      </c>
      <c r="F68" s="79">
        <v>5</v>
      </c>
      <c r="G68" s="79"/>
      <c r="I68" s="117">
        <v>44213</v>
      </c>
      <c r="J68" s="37"/>
      <c r="K68" s="37"/>
      <c r="L68" s="119"/>
      <c r="M68" s="119"/>
      <c r="N68" s="117">
        <v>44213</v>
      </c>
      <c r="O68" s="37"/>
      <c r="P68" s="37"/>
      <c r="R68" s="120">
        <v>5</v>
      </c>
      <c r="S68" s="125"/>
      <c r="U68" s="154">
        <v>44214</v>
      </c>
      <c r="V68" s="79">
        <v>3</v>
      </c>
      <c r="W68" s="79"/>
      <c r="Y68" s="118">
        <v>44214</v>
      </c>
      <c r="Z68" s="79">
        <v>5</v>
      </c>
      <c r="AA68" s="79"/>
      <c r="AC68" s="119">
        <v>44214</v>
      </c>
      <c r="AD68" s="79">
        <v>7</v>
      </c>
      <c r="AE68" s="79"/>
      <c r="AG68" s="118">
        <v>44214</v>
      </c>
      <c r="AH68" s="79">
        <v>9</v>
      </c>
      <c r="AI68" s="79"/>
      <c r="AK68" s="117">
        <v>44213</v>
      </c>
      <c r="AL68" s="37"/>
      <c r="AM68" s="149"/>
      <c r="AO68" s="152">
        <v>44213</v>
      </c>
      <c r="AP68" s="37"/>
      <c r="AQ68" s="79"/>
      <c r="AS68" s="152">
        <v>44213</v>
      </c>
      <c r="AT68" s="37"/>
      <c r="AU68" s="79"/>
      <c r="AW68" s="152">
        <v>44213</v>
      </c>
      <c r="AX68" s="37"/>
      <c r="AY68" s="79"/>
      <c r="BA68" s="152">
        <v>44213</v>
      </c>
      <c r="BB68" s="37"/>
      <c r="BC68" s="79"/>
      <c r="BE68" s="152">
        <v>44213</v>
      </c>
      <c r="BF68" s="37"/>
      <c r="BG68" s="79"/>
      <c r="BI68" s="152">
        <v>44213</v>
      </c>
      <c r="BJ68" s="37"/>
      <c r="BK68" s="79"/>
      <c r="BM68" s="152">
        <v>44213</v>
      </c>
      <c r="BN68" s="37"/>
      <c r="BO68" s="79"/>
      <c r="BQ68" s="152">
        <v>44213</v>
      </c>
      <c r="BR68" s="37"/>
      <c r="BS68" s="79"/>
      <c r="BU68" s="152">
        <v>44213</v>
      </c>
      <c r="BV68" s="37"/>
      <c r="BW68" s="79"/>
      <c r="BY68" s="152">
        <v>44213</v>
      </c>
      <c r="BZ68" s="37"/>
      <c r="CA68" s="79"/>
    </row>
    <row r="69" spans="1:79">
      <c r="A69" s="133">
        <v>44215</v>
      </c>
      <c r="C69" s="79"/>
      <c r="E69" s="118">
        <v>44215</v>
      </c>
      <c r="F69" s="79">
        <v>6</v>
      </c>
      <c r="G69" s="79"/>
      <c r="I69" s="80">
        <v>44214</v>
      </c>
      <c r="J69" s="120">
        <v>1</v>
      </c>
      <c r="K69" s="80"/>
      <c r="N69" s="80">
        <v>44214</v>
      </c>
      <c r="O69" s="120">
        <v>3</v>
      </c>
      <c r="P69" s="120">
        <v>1</v>
      </c>
      <c r="R69" s="120">
        <v>6</v>
      </c>
      <c r="S69" s="125"/>
      <c r="U69" s="156">
        <v>44215</v>
      </c>
      <c r="W69" s="79"/>
      <c r="Y69" s="118">
        <v>44215</v>
      </c>
      <c r="Z69" s="79">
        <v>6</v>
      </c>
      <c r="AA69" s="79"/>
      <c r="AC69" s="119">
        <v>44215</v>
      </c>
      <c r="AD69" s="79">
        <v>8</v>
      </c>
      <c r="AE69" s="79"/>
      <c r="AG69" s="118">
        <v>44215</v>
      </c>
      <c r="AH69" s="79">
        <v>10</v>
      </c>
      <c r="AI69" s="79"/>
      <c r="AK69" s="118">
        <v>44214</v>
      </c>
      <c r="AL69" s="79">
        <v>1</v>
      </c>
      <c r="AM69" s="149"/>
      <c r="AO69" s="154">
        <v>44214</v>
      </c>
      <c r="AP69" s="79">
        <v>3</v>
      </c>
      <c r="AQ69" s="79"/>
      <c r="AS69" s="154">
        <v>44214</v>
      </c>
      <c r="AT69" s="79">
        <v>5</v>
      </c>
      <c r="AU69" s="79"/>
      <c r="AW69" s="154">
        <v>44214</v>
      </c>
      <c r="AX69" s="79">
        <v>7</v>
      </c>
      <c r="AY69" s="79"/>
      <c r="BA69" s="154">
        <v>44214</v>
      </c>
      <c r="BB69" s="79">
        <v>9</v>
      </c>
      <c r="BC69" s="79"/>
      <c r="BE69" s="154">
        <v>44214</v>
      </c>
      <c r="BF69" s="79">
        <v>11</v>
      </c>
      <c r="BG69" s="79"/>
      <c r="BI69" s="154">
        <v>44214</v>
      </c>
      <c r="BJ69" s="79">
        <v>3</v>
      </c>
      <c r="BK69" s="79"/>
      <c r="BM69" s="154">
        <v>44214</v>
      </c>
      <c r="BN69" s="79">
        <v>5</v>
      </c>
      <c r="BO69" s="79"/>
      <c r="BQ69" s="154">
        <v>44214</v>
      </c>
      <c r="BR69" s="79">
        <v>7</v>
      </c>
      <c r="BS69" s="79"/>
      <c r="BU69" s="154">
        <v>44214</v>
      </c>
      <c r="BV69" s="79">
        <v>9</v>
      </c>
      <c r="BW69" s="79"/>
      <c r="BY69" s="154">
        <v>44214</v>
      </c>
      <c r="BZ69" s="79">
        <v>11</v>
      </c>
      <c r="CA69" s="79"/>
    </row>
    <row r="70" spans="1:79">
      <c r="A70" s="133">
        <v>44216</v>
      </c>
      <c r="C70" s="79"/>
      <c r="E70" s="121" t="s">
        <v>85</v>
      </c>
      <c r="F70" s="121">
        <f>COUNTA(F54:F69)</f>
        <v>6</v>
      </c>
      <c r="G70" s="122">
        <f>IF(F70&lt;=$A$45,1,F70/$A$45)</f>
        <v>1</v>
      </c>
      <c r="I70" s="80">
        <v>44215</v>
      </c>
      <c r="J70" s="120">
        <v>2</v>
      </c>
      <c r="K70" s="80"/>
      <c r="N70" s="80">
        <v>44215</v>
      </c>
      <c r="O70" s="120">
        <v>4</v>
      </c>
      <c r="P70" s="120">
        <v>2</v>
      </c>
      <c r="R70" s="79">
        <v>1</v>
      </c>
      <c r="S70" s="134"/>
      <c r="U70" s="156">
        <v>44216</v>
      </c>
      <c r="W70" s="79"/>
      <c r="Y70" s="119">
        <v>44216</v>
      </c>
      <c r="AA70" s="79"/>
      <c r="AC70" s="119">
        <v>44216</v>
      </c>
      <c r="AD70" s="79">
        <v>9</v>
      </c>
      <c r="AE70" s="79"/>
      <c r="AG70" s="121" t="s">
        <v>85</v>
      </c>
      <c r="AH70" s="121">
        <f>COUNTA(AH54:AH69)</f>
        <v>10</v>
      </c>
      <c r="AI70" s="122">
        <f>IF(AH70&lt;=$U$45,1,AH70/$U$45)</f>
        <v>1</v>
      </c>
      <c r="AK70" s="119">
        <v>44215</v>
      </c>
      <c r="AL70" s="79">
        <v>2</v>
      </c>
      <c r="AM70" s="149"/>
      <c r="AO70" s="156">
        <v>44215</v>
      </c>
      <c r="AQ70" s="79"/>
      <c r="AS70" s="156">
        <v>44215</v>
      </c>
      <c r="AT70">
        <v>6</v>
      </c>
      <c r="AU70" s="79"/>
      <c r="AW70" s="156">
        <v>44215</v>
      </c>
      <c r="AX70">
        <v>8</v>
      </c>
      <c r="AY70" s="79"/>
      <c r="BA70" s="156">
        <v>44215</v>
      </c>
      <c r="BB70" s="79">
        <v>10</v>
      </c>
      <c r="BC70" s="79"/>
      <c r="BE70" s="156">
        <v>44215</v>
      </c>
      <c r="BF70" s="79">
        <v>12</v>
      </c>
      <c r="BG70" s="79"/>
      <c r="BI70" s="156">
        <v>44215</v>
      </c>
      <c r="BK70" s="79"/>
      <c r="BM70" s="156">
        <v>44215</v>
      </c>
      <c r="BN70">
        <v>6</v>
      </c>
      <c r="BO70" s="79"/>
      <c r="BQ70" s="156">
        <v>44215</v>
      </c>
      <c r="BR70">
        <v>8</v>
      </c>
      <c r="BS70" s="79"/>
      <c r="BU70" s="156">
        <v>44215</v>
      </c>
      <c r="BV70" s="79">
        <v>10</v>
      </c>
      <c r="BW70" s="79"/>
      <c r="BY70" s="156">
        <v>44215</v>
      </c>
      <c r="BZ70" s="79">
        <v>12</v>
      </c>
      <c r="CA70" s="79"/>
    </row>
    <row r="71" spans="1:79">
      <c r="A71" s="133">
        <v>44217</v>
      </c>
      <c r="C71" s="79"/>
      <c r="E71" s="119">
        <v>44216</v>
      </c>
      <c r="I71" s="80">
        <v>44216</v>
      </c>
      <c r="J71" s="120">
        <v>3</v>
      </c>
      <c r="K71" s="80"/>
      <c r="N71" s="80">
        <v>44216</v>
      </c>
      <c r="O71" s="120">
        <v>5</v>
      </c>
      <c r="P71" s="120">
        <v>3</v>
      </c>
      <c r="R71" s="79">
        <v>2</v>
      </c>
      <c r="S71" s="134"/>
      <c r="U71" s="156">
        <v>44217</v>
      </c>
      <c r="W71" s="79"/>
      <c r="Y71" s="119">
        <v>44217</v>
      </c>
      <c r="AA71" s="79"/>
      <c r="AC71" s="119">
        <v>44217</v>
      </c>
      <c r="AE71" s="79"/>
      <c r="AG71" s="80">
        <v>44216</v>
      </c>
      <c r="AH71" s="120">
        <v>1</v>
      </c>
      <c r="AI71" s="80"/>
      <c r="AK71" s="119">
        <v>44216</v>
      </c>
      <c r="AL71" s="120">
        <v>3</v>
      </c>
      <c r="AM71" s="159"/>
      <c r="AO71" s="156">
        <v>44216</v>
      </c>
      <c r="AQ71" s="79"/>
      <c r="AS71" s="156">
        <v>44216</v>
      </c>
      <c r="AU71" s="79"/>
      <c r="AW71" s="156">
        <v>44216</v>
      </c>
      <c r="AX71">
        <v>9</v>
      </c>
      <c r="AY71" s="79"/>
      <c r="BA71" s="156">
        <v>44216</v>
      </c>
      <c r="BB71" s="79">
        <v>11</v>
      </c>
      <c r="BC71" s="79"/>
      <c r="BE71" s="156">
        <v>44216</v>
      </c>
      <c r="BF71" s="79">
        <v>13</v>
      </c>
      <c r="BG71" s="79"/>
      <c r="BI71" s="156">
        <v>44216</v>
      </c>
      <c r="BK71" s="79"/>
      <c r="BM71" s="156">
        <v>44216</v>
      </c>
      <c r="BO71" s="79"/>
      <c r="BQ71" s="156">
        <v>44216</v>
      </c>
      <c r="BR71">
        <v>9</v>
      </c>
      <c r="BS71" s="79"/>
      <c r="BU71" s="156">
        <v>44216</v>
      </c>
      <c r="BV71" s="79">
        <v>11</v>
      </c>
      <c r="BW71" s="79"/>
      <c r="BY71" s="156">
        <v>44216</v>
      </c>
      <c r="BZ71" s="79">
        <v>13</v>
      </c>
      <c r="CA71" s="79"/>
    </row>
    <row r="72" spans="1:79">
      <c r="A72" s="133">
        <v>44218</v>
      </c>
      <c r="C72" s="79"/>
      <c r="E72" s="119">
        <v>44217</v>
      </c>
      <c r="I72" s="119">
        <v>44217</v>
      </c>
      <c r="K72" s="80"/>
      <c r="N72" s="80">
        <v>44217</v>
      </c>
      <c r="O72" s="120">
        <v>6</v>
      </c>
      <c r="P72" s="120">
        <v>4</v>
      </c>
      <c r="R72" s="79">
        <v>3</v>
      </c>
      <c r="S72" s="134"/>
      <c r="U72" s="156">
        <v>44218</v>
      </c>
      <c r="W72" s="79"/>
      <c r="Y72" s="119">
        <v>44218</v>
      </c>
      <c r="AA72" s="79"/>
      <c r="AC72" s="119">
        <v>44218</v>
      </c>
      <c r="AE72" s="79"/>
      <c r="AG72" s="80">
        <v>44217</v>
      </c>
      <c r="AH72" s="120">
        <v>2</v>
      </c>
      <c r="AI72" s="80"/>
      <c r="AK72" s="119">
        <v>44217</v>
      </c>
      <c r="AL72" s="120">
        <v>4</v>
      </c>
      <c r="AM72" s="159"/>
      <c r="AO72" s="156">
        <v>44217</v>
      </c>
      <c r="AQ72" s="79"/>
      <c r="AS72" s="156">
        <v>44217</v>
      </c>
      <c r="AU72" s="79"/>
      <c r="AW72" s="156">
        <v>44217</v>
      </c>
      <c r="AY72" s="79"/>
      <c r="BA72" s="156">
        <v>44217</v>
      </c>
      <c r="BB72" s="79">
        <v>12</v>
      </c>
      <c r="BC72" s="79"/>
      <c r="BE72" s="156">
        <v>44217</v>
      </c>
      <c r="BF72" s="79">
        <v>14</v>
      </c>
      <c r="BG72" s="79"/>
      <c r="BI72" s="156">
        <v>44217</v>
      </c>
      <c r="BK72" s="79"/>
      <c r="BM72" s="156">
        <v>44217</v>
      </c>
      <c r="BO72" s="79"/>
      <c r="BQ72" s="156">
        <v>44217</v>
      </c>
      <c r="BS72" s="79"/>
      <c r="BU72" s="156">
        <v>44217</v>
      </c>
      <c r="BV72" s="79">
        <v>12</v>
      </c>
      <c r="BW72" s="79"/>
      <c r="BY72" s="156">
        <v>44217</v>
      </c>
      <c r="BZ72" s="79">
        <v>14</v>
      </c>
      <c r="CA72" s="79"/>
    </row>
    <row r="73" spans="1:79">
      <c r="A73" s="129">
        <v>44219</v>
      </c>
      <c r="B73" s="37"/>
      <c r="C73" s="79"/>
      <c r="E73" s="119">
        <v>44218</v>
      </c>
      <c r="I73" s="119">
        <v>44218</v>
      </c>
      <c r="K73" s="80"/>
      <c r="L73" s="37"/>
      <c r="M73" s="37"/>
      <c r="N73" s="121" t="s">
        <v>85</v>
      </c>
      <c r="O73" s="121">
        <f>COUNTA(O64:O72)</f>
        <v>6</v>
      </c>
      <c r="P73" s="122">
        <f>IF(O73&lt;=$A$45,1,O73/$A$45)</f>
        <v>1</v>
      </c>
      <c r="R73" s="37"/>
      <c r="S73" s="130"/>
      <c r="U73" s="152">
        <v>44219</v>
      </c>
      <c r="V73" s="37"/>
      <c r="W73" s="79"/>
      <c r="Y73" s="117">
        <v>44219</v>
      </c>
      <c r="Z73" s="37"/>
      <c r="AA73" s="79"/>
      <c r="AC73" s="117">
        <v>44219</v>
      </c>
      <c r="AD73" s="37"/>
      <c r="AE73" s="79"/>
      <c r="AG73" s="119">
        <v>44218</v>
      </c>
      <c r="AI73" s="80"/>
      <c r="AK73" s="119">
        <v>44218</v>
      </c>
      <c r="AL73">
        <v>5</v>
      </c>
      <c r="AM73" s="159"/>
      <c r="AO73" s="156">
        <v>44218</v>
      </c>
      <c r="AQ73" s="79"/>
      <c r="AS73" s="156">
        <v>44218</v>
      </c>
      <c r="AU73" s="79"/>
      <c r="AW73" s="156">
        <v>44218</v>
      </c>
      <c r="AY73" s="79"/>
      <c r="BA73" s="156">
        <v>44218</v>
      </c>
      <c r="BC73" s="79"/>
      <c r="BE73" s="156">
        <v>44218</v>
      </c>
      <c r="BF73" s="79">
        <v>15</v>
      </c>
      <c r="BG73" s="79"/>
      <c r="BI73" s="156">
        <v>44218</v>
      </c>
      <c r="BK73" s="79"/>
      <c r="BM73" s="156">
        <v>44218</v>
      </c>
      <c r="BO73" s="79"/>
      <c r="BQ73" s="156">
        <v>44218</v>
      </c>
      <c r="BS73" s="79"/>
      <c r="BU73" s="156">
        <v>44218</v>
      </c>
      <c r="BW73" s="79"/>
      <c r="BY73" s="156">
        <v>44218</v>
      </c>
      <c r="BZ73" s="79">
        <v>15</v>
      </c>
      <c r="CA73" s="79"/>
    </row>
    <row r="74" spans="1:79">
      <c r="A74" s="129">
        <v>44220</v>
      </c>
      <c r="B74" s="37"/>
      <c r="C74" s="79"/>
      <c r="E74" s="117">
        <v>44219</v>
      </c>
      <c r="F74" s="37"/>
      <c r="G74" s="37"/>
      <c r="I74" s="117">
        <v>44219</v>
      </c>
      <c r="J74" s="37"/>
      <c r="K74" s="80"/>
      <c r="L74" s="37"/>
      <c r="M74" s="37"/>
      <c r="N74" s="119">
        <v>44218</v>
      </c>
      <c r="R74" s="37"/>
      <c r="S74" s="130"/>
      <c r="U74" s="152">
        <v>44220</v>
      </c>
      <c r="V74" s="37"/>
      <c r="W74" s="79"/>
      <c r="Y74" s="117">
        <v>44220</v>
      </c>
      <c r="Z74" s="37"/>
      <c r="AA74" s="79"/>
      <c r="AC74" s="117">
        <v>44220</v>
      </c>
      <c r="AD74" s="37"/>
      <c r="AE74" s="79"/>
      <c r="AG74" s="117">
        <v>44219</v>
      </c>
      <c r="AH74" s="37"/>
      <c r="AI74" s="80"/>
      <c r="AK74" s="117">
        <v>44219</v>
      </c>
      <c r="AL74" s="37"/>
      <c r="AM74" s="159"/>
      <c r="AO74" s="152">
        <v>44219</v>
      </c>
      <c r="AP74" s="37"/>
      <c r="AQ74" s="79"/>
      <c r="AS74" s="152">
        <v>44219</v>
      </c>
      <c r="AT74" s="37"/>
      <c r="AU74" s="79"/>
      <c r="AW74" s="152">
        <v>44219</v>
      </c>
      <c r="AX74" s="37"/>
      <c r="AY74" s="79"/>
      <c r="BA74" s="152">
        <v>44219</v>
      </c>
      <c r="BB74" s="37"/>
      <c r="BC74" s="79"/>
      <c r="BE74" s="152">
        <v>44219</v>
      </c>
      <c r="BF74" s="37"/>
      <c r="BG74" s="79"/>
      <c r="BI74" s="152">
        <v>44219</v>
      </c>
      <c r="BJ74" s="37"/>
      <c r="BK74" s="79"/>
      <c r="BM74" s="152">
        <v>44219</v>
      </c>
      <c r="BN74" s="37"/>
      <c r="BO74" s="79"/>
      <c r="BQ74" s="152">
        <v>44219</v>
      </c>
      <c r="BR74" s="37"/>
      <c r="BS74" s="79"/>
      <c r="BU74" s="152">
        <v>44219</v>
      </c>
      <c r="BV74" s="37"/>
      <c r="BW74" s="79"/>
      <c r="BY74" s="152">
        <v>44219</v>
      </c>
      <c r="BZ74" s="37"/>
      <c r="CA74" s="79"/>
    </row>
    <row r="75" spans="1:79">
      <c r="A75" s="131">
        <v>44221</v>
      </c>
      <c r="B75" s="79">
        <v>4</v>
      </c>
      <c r="C75" s="118"/>
      <c r="D75" s="119"/>
      <c r="E75" s="117">
        <v>44220</v>
      </c>
      <c r="F75" s="37"/>
      <c r="G75" s="37"/>
      <c r="H75" s="119"/>
      <c r="I75" s="117">
        <v>44220</v>
      </c>
      <c r="J75" s="37"/>
      <c r="K75" s="80"/>
      <c r="N75" s="117">
        <v>44219</v>
      </c>
      <c r="O75" s="37"/>
      <c r="P75" s="37"/>
      <c r="Q75" s="119"/>
      <c r="R75" s="79">
        <v>4</v>
      </c>
      <c r="S75" s="134"/>
      <c r="U75" s="154">
        <v>44221</v>
      </c>
      <c r="V75" s="79">
        <v>4</v>
      </c>
      <c r="W75" s="118"/>
      <c r="X75" s="119"/>
      <c r="Y75" s="118">
        <v>44221</v>
      </c>
      <c r="Z75" s="79">
        <v>7</v>
      </c>
      <c r="AA75" s="118"/>
      <c r="AC75" s="119">
        <v>44221</v>
      </c>
      <c r="AD75" s="79">
        <v>10</v>
      </c>
      <c r="AE75" s="118"/>
      <c r="AG75" s="117">
        <v>44220</v>
      </c>
      <c r="AH75" s="37"/>
      <c r="AI75" s="80"/>
      <c r="AK75" s="117">
        <v>44220</v>
      </c>
      <c r="AL75" s="37"/>
      <c r="AM75" s="159"/>
      <c r="AO75" s="152">
        <v>44220</v>
      </c>
      <c r="AP75" s="37"/>
      <c r="AQ75" s="79"/>
      <c r="AS75" s="152">
        <v>44220</v>
      </c>
      <c r="AT75" s="37"/>
      <c r="AU75" s="79"/>
      <c r="AW75" s="152">
        <v>44220</v>
      </c>
      <c r="AX75" s="37"/>
      <c r="AY75" s="79"/>
      <c r="BA75" s="152">
        <v>44220</v>
      </c>
      <c r="BB75" s="37"/>
      <c r="BC75" s="79"/>
      <c r="BE75" s="152">
        <v>44220</v>
      </c>
      <c r="BF75" s="37"/>
      <c r="BG75" s="79"/>
      <c r="BI75" s="152">
        <v>44220</v>
      </c>
      <c r="BJ75" s="37"/>
      <c r="BK75" s="79"/>
      <c r="BM75" s="152">
        <v>44220</v>
      </c>
      <c r="BN75" s="37"/>
      <c r="BO75" s="79"/>
      <c r="BQ75" s="152">
        <v>44220</v>
      </c>
      <c r="BR75" s="37"/>
      <c r="BS75" s="79"/>
      <c r="BU75" s="152">
        <v>44220</v>
      </c>
      <c r="BV75" s="37"/>
      <c r="BW75" s="79"/>
      <c r="BY75" s="152">
        <v>44220</v>
      </c>
      <c r="BZ75" s="37"/>
      <c r="CA75" s="79"/>
    </row>
    <row r="76" spans="1:79">
      <c r="A76" s="133">
        <v>44222</v>
      </c>
      <c r="C76" s="79"/>
      <c r="E76" s="80">
        <v>44221</v>
      </c>
      <c r="F76" s="120">
        <v>1</v>
      </c>
      <c r="G76" s="80"/>
      <c r="I76" s="80">
        <v>44221</v>
      </c>
      <c r="J76" s="120">
        <v>4</v>
      </c>
      <c r="K76" s="80"/>
      <c r="N76" s="117">
        <v>44220</v>
      </c>
      <c r="O76" s="37"/>
      <c r="P76" s="37"/>
      <c r="R76" s="79">
        <v>5</v>
      </c>
      <c r="S76" s="134"/>
      <c r="U76" s="156">
        <v>44222</v>
      </c>
      <c r="W76" s="79"/>
      <c r="Y76" s="118">
        <v>44222</v>
      </c>
      <c r="Z76" s="79">
        <v>8</v>
      </c>
      <c r="AA76" s="79"/>
      <c r="AC76" s="121" t="s">
        <v>85</v>
      </c>
      <c r="AD76" s="121">
        <f>COUNTA(AD54:AD75)</f>
        <v>10</v>
      </c>
      <c r="AE76" s="122">
        <f>IF(AD76&lt;=$U$45,1,AD76/$U$45)</f>
        <v>1</v>
      </c>
      <c r="AG76" s="80">
        <v>44221</v>
      </c>
      <c r="AH76" s="120">
        <v>3</v>
      </c>
      <c r="AI76" s="80"/>
      <c r="AK76" s="118">
        <v>44221</v>
      </c>
      <c r="AL76" s="120">
        <v>6</v>
      </c>
      <c r="AM76" s="159"/>
      <c r="AO76" s="154">
        <v>44221</v>
      </c>
      <c r="AP76" s="79">
        <v>4</v>
      </c>
      <c r="AQ76" s="118"/>
      <c r="AR76" s="119"/>
      <c r="AS76" s="154">
        <v>44221</v>
      </c>
      <c r="AT76" s="79">
        <v>7</v>
      </c>
      <c r="AU76" s="118"/>
      <c r="AW76" s="154">
        <v>44221</v>
      </c>
      <c r="AX76" s="79">
        <v>10</v>
      </c>
      <c r="AY76" s="118"/>
      <c r="BA76" s="154">
        <v>44221</v>
      </c>
      <c r="BB76" s="79">
        <v>13</v>
      </c>
      <c r="BC76" s="118"/>
      <c r="BE76" s="154">
        <v>44221</v>
      </c>
      <c r="BF76" s="79">
        <v>16</v>
      </c>
      <c r="BG76" s="118"/>
      <c r="BI76" s="154">
        <v>44221</v>
      </c>
      <c r="BJ76" s="79">
        <v>4</v>
      </c>
      <c r="BK76" s="118"/>
      <c r="BL76" s="119"/>
      <c r="BM76" s="154">
        <v>44221</v>
      </c>
      <c r="BN76" s="79">
        <v>7</v>
      </c>
      <c r="BO76" s="118"/>
      <c r="BQ76" s="154">
        <v>44221</v>
      </c>
      <c r="BR76" s="79">
        <v>10</v>
      </c>
      <c r="BS76" s="118"/>
      <c r="BU76" s="154">
        <v>44221</v>
      </c>
      <c r="BV76" s="79">
        <v>13</v>
      </c>
      <c r="BW76" s="118"/>
      <c r="BY76" s="154">
        <v>44221</v>
      </c>
      <c r="BZ76" s="79">
        <v>16</v>
      </c>
      <c r="CA76" s="118"/>
    </row>
    <row r="77" spans="1:79">
      <c r="A77" s="133">
        <v>44223</v>
      </c>
      <c r="C77" s="79"/>
      <c r="E77" s="80">
        <v>44222</v>
      </c>
      <c r="F77" s="120">
        <v>2</v>
      </c>
      <c r="G77" s="120"/>
      <c r="I77" s="80">
        <v>44222</v>
      </c>
      <c r="J77" s="120">
        <v>5</v>
      </c>
      <c r="K77" s="80"/>
      <c r="N77" s="118">
        <v>44221</v>
      </c>
      <c r="O77" s="79">
        <v>1</v>
      </c>
      <c r="P77" s="79">
        <v>1</v>
      </c>
      <c r="R77" s="79">
        <v>6</v>
      </c>
      <c r="S77" s="134"/>
      <c r="U77" s="156">
        <v>44223</v>
      </c>
      <c r="W77" s="79"/>
      <c r="Y77" s="119">
        <v>44223</v>
      </c>
      <c r="AA77" s="79"/>
      <c r="AC77" s="80">
        <v>44222</v>
      </c>
      <c r="AD77" s="120">
        <v>1</v>
      </c>
      <c r="AE77" s="80"/>
      <c r="AG77" s="80">
        <v>44222</v>
      </c>
      <c r="AH77" s="120">
        <v>4</v>
      </c>
      <c r="AI77" s="80"/>
      <c r="AK77" s="119">
        <v>44222</v>
      </c>
      <c r="AL77" s="120">
        <v>7</v>
      </c>
      <c r="AM77" s="159"/>
      <c r="AO77" s="156">
        <v>44222</v>
      </c>
      <c r="AQ77" s="79"/>
      <c r="AS77" s="156">
        <v>44222</v>
      </c>
      <c r="AT77">
        <v>8</v>
      </c>
      <c r="AU77" s="79"/>
      <c r="AW77" s="156">
        <v>44222</v>
      </c>
      <c r="AX77">
        <v>11</v>
      </c>
      <c r="AY77" s="79"/>
      <c r="BA77" s="156">
        <v>44222</v>
      </c>
      <c r="BB77" s="79">
        <v>14</v>
      </c>
      <c r="BC77" s="79"/>
      <c r="BE77" s="156">
        <v>44222</v>
      </c>
      <c r="BF77" s="79">
        <v>17</v>
      </c>
      <c r="BG77" s="79"/>
      <c r="BI77" s="156">
        <v>44222</v>
      </c>
      <c r="BK77" s="79"/>
      <c r="BM77" s="156">
        <v>44222</v>
      </c>
      <c r="BN77">
        <v>8</v>
      </c>
      <c r="BO77" s="79"/>
      <c r="BQ77" s="156">
        <v>44222</v>
      </c>
      <c r="BR77">
        <v>11</v>
      </c>
      <c r="BS77" s="79"/>
      <c r="BU77" s="156">
        <v>44222</v>
      </c>
      <c r="BV77" s="79">
        <v>14</v>
      </c>
      <c r="BW77" s="79"/>
      <c r="BY77" s="156">
        <v>44222</v>
      </c>
      <c r="BZ77" s="79">
        <v>17</v>
      </c>
      <c r="CA77" s="79"/>
    </row>
    <row r="78" spans="1:79">
      <c r="A78" s="133">
        <v>44224</v>
      </c>
      <c r="C78" s="79"/>
      <c r="D78" s="119"/>
      <c r="E78" s="119">
        <v>44223</v>
      </c>
      <c r="G78" s="120"/>
      <c r="H78" s="119"/>
      <c r="I78" s="80">
        <v>44223</v>
      </c>
      <c r="J78" s="120">
        <v>6</v>
      </c>
      <c r="K78" s="80"/>
      <c r="L78" s="119"/>
      <c r="M78" s="119"/>
      <c r="N78" s="118">
        <v>44222</v>
      </c>
      <c r="O78" s="79">
        <v>2</v>
      </c>
      <c r="P78" s="79">
        <v>2</v>
      </c>
      <c r="Q78" s="119"/>
      <c r="R78" s="120">
        <v>1</v>
      </c>
      <c r="S78" s="135"/>
      <c r="U78" s="156">
        <v>44224</v>
      </c>
      <c r="W78" s="118"/>
      <c r="X78" s="119"/>
      <c r="Y78" s="119">
        <v>44224</v>
      </c>
      <c r="AA78" s="118"/>
      <c r="AC78" s="80">
        <v>44223</v>
      </c>
      <c r="AD78" s="120">
        <v>2</v>
      </c>
      <c r="AE78" s="80"/>
      <c r="AG78" s="80">
        <v>44223</v>
      </c>
      <c r="AH78" s="120">
        <v>5</v>
      </c>
      <c r="AI78" s="80"/>
      <c r="AK78" s="119">
        <v>44223</v>
      </c>
      <c r="AL78" s="120">
        <v>8</v>
      </c>
      <c r="AM78" s="159"/>
      <c r="AO78" s="156">
        <v>44223</v>
      </c>
      <c r="AQ78" s="79"/>
      <c r="AS78" s="156">
        <v>44223</v>
      </c>
      <c r="AU78" s="79"/>
      <c r="AW78" s="156">
        <v>44223</v>
      </c>
      <c r="AX78">
        <v>12</v>
      </c>
      <c r="AY78" s="79"/>
      <c r="BA78" s="156">
        <v>44223</v>
      </c>
      <c r="BB78" s="79">
        <v>15</v>
      </c>
      <c r="BC78" s="79"/>
      <c r="BE78" s="156">
        <v>44223</v>
      </c>
      <c r="BF78" s="79">
        <v>18</v>
      </c>
      <c r="BG78" s="79"/>
      <c r="BI78" s="156">
        <v>44223</v>
      </c>
      <c r="BK78" s="79"/>
      <c r="BM78" s="156">
        <v>44223</v>
      </c>
      <c r="BO78" s="79"/>
      <c r="BQ78" s="156">
        <v>44223</v>
      </c>
      <c r="BR78">
        <v>12</v>
      </c>
      <c r="BS78" s="79"/>
      <c r="BU78" s="156">
        <v>44223</v>
      </c>
      <c r="BV78" s="79">
        <v>15</v>
      </c>
      <c r="BW78" s="79"/>
      <c r="BY78" s="156">
        <v>44223</v>
      </c>
      <c r="BZ78" s="79">
        <v>18</v>
      </c>
      <c r="CA78" s="79"/>
    </row>
    <row r="79" spans="1:79">
      <c r="A79" s="133">
        <v>44225</v>
      </c>
      <c r="C79" s="79"/>
      <c r="E79" s="119">
        <v>44224</v>
      </c>
      <c r="G79" s="120"/>
      <c r="I79" s="121" t="s">
        <v>85</v>
      </c>
      <c r="J79" s="121">
        <f>COUNTA(J69:J78)</f>
        <v>6</v>
      </c>
      <c r="K79" s="122">
        <f>IF(J79&lt;=$A$45,1,J79/$A$45)</f>
        <v>1</v>
      </c>
      <c r="N79" s="118">
        <v>44223</v>
      </c>
      <c r="O79" s="79">
        <v>3</v>
      </c>
      <c r="P79" s="79">
        <v>3</v>
      </c>
      <c r="R79" s="120">
        <v>2</v>
      </c>
      <c r="S79" s="125"/>
      <c r="U79" s="156">
        <v>44225</v>
      </c>
      <c r="W79" s="79"/>
      <c r="Y79" s="119">
        <v>44225</v>
      </c>
      <c r="AA79" s="79"/>
      <c r="AC79" s="119">
        <v>44224</v>
      </c>
      <c r="AE79" s="80"/>
      <c r="AG79" s="80">
        <v>44224</v>
      </c>
      <c r="AH79" s="120">
        <v>6</v>
      </c>
      <c r="AI79" s="80"/>
      <c r="AK79" s="119">
        <v>44224</v>
      </c>
      <c r="AL79" s="120">
        <v>9</v>
      </c>
      <c r="AM79" s="159"/>
      <c r="AO79" s="156">
        <v>44224</v>
      </c>
      <c r="AQ79" s="118"/>
      <c r="AR79" s="119"/>
      <c r="AS79" s="156">
        <v>44224</v>
      </c>
      <c r="AU79" s="118"/>
      <c r="AW79" s="156">
        <v>44224</v>
      </c>
      <c r="AY79" s="118"/>
      <c r="BA79" s="156">
        <v>44224</v>
      </c>
      <c r="BB79" s="79">
        <v>16</v>
      </c>
      <c r="BC79" s="118"/>
      <c r="BE79" s="156">
        <v>44224</v>
      </c>
      <c r="BF79" s="79">
        <v>19</v>
      </c>
      <c r="BG79" s="118"/>
      <c r="BI79" s="156">
        <v>44224</v>
      </c>
      <c r="BK79" s="118"/>
      <c r="BL79" s="119"/>
      <c r="BM79" s="156">
        <v>44224</v>
      </c>
      <c r="BO79" s="118"/>
      <c r="BQ79" s="156">
        <v>44224</v>
      </c>
      <c r="BS79" s="118"/>
      <c r="BU79" s="156">
        <v>44224</v>
      </c>
      <c r="BV79" s="79">
        <v>16</v>
      </c>
      <c r="BW79" s="118"/>
      <c r="BY79" s="156">
        <v>44224</v>
      </c>
      <c r="BZ79" s="79">
        <v>19</v>
      </c>
      <c r="CA79" s="118"/>
    </row>
    <row r="80" spans="1:79">
      <c r="A80" s="129">
        <v>44226</v>
      </c>
      <c r="B80" s="37"/>
      <c r="C80" s="79"/>
      <c r="E80" s="119">
        <v>44225</v>
      </c>
      <c r="G80" s="120"/>
      <c r="I80" s="119">
        <v>44224</v>
      </c>
      <c r="K80" s="119"/>
      <c r="L80" s="37"/>
      <c r="M80" s="37"/>
      <c r="N80" s="118">
        <v>44224</v>
      </c>
      <c r="O80" s="79">
        <v>4</v>
      </c>
      <c r="P80" s="79">
        <v>4</v>
      </c>
      <c r="R80" s="37"/>
      <c r="S80" s="130"/>
      <c r="U80" s="152">
        <v>44226</v>
      </c>
      <c r="V80" s="37"/>
      <c r="W80" s="79"/>
      <c r="Y80" s="117">
        <v>44226</v>
      </c>
      <c r="Z80" s="37"/>
      <c r="AA80" s="79"/>
      <c r="AC80" s="119">
        <v>44225</v>
      </c>
      <c r="AE80" s="80"/>
      <c r="AG80" s="119">
        <v>44225</v>
      </c>
      <c r="AI80" s="80"/>
      <c r="AK80" s="119">
        <v>44225</v>
      </c>
      <c r="AL80" s="120">
        <v>10</v>
      </c>
      <c r="AM80" s="159"/>
      <c r="AO80" s="156">
        <v>44225</v>
      </c>
      <c r="AQ80" s="79"/>
      <c r="AS80" s="156">
        <v>44225</v>
      </c>
      <c r="AU80" s="79"/>
      <c r="AW80" s="156">
        <v>44225</v>
      </c>
      <c r="AY80" s="79"/>
      <c r="BA80" s="156">
        <v>44225</v>
      </c>
      <c r="BC80" s="79"/>
      <c r="BE80" s="156">
        <v>44225</v>
      </c>
      <c r="BF80" s="79">
        <v>20</v>
      </c>
      <c r="BG80" s="79"/>
      <c r="BI80" s="156">
        <v>44225</v>
      </c>
      <c r="BK80" s="79"/>
      <c r="BM80" s="156">
        <v>44225</v>
      </c>
      <c r="BO80" s="79"/>
      <c r="BQ80" s="156">
        <v>44225</v>
      </c>
      <c r="BS80" s="79"/>
      <c r="BU80" s="156">
        <v>44225</v>
      </c>
      <c r="BW80" s="79"/>
      <c r="BY80" s="156">
        <v>44225</v>
      </c>
      <c r="BZ80" s="79">
        <v>20</v>
      </c>
      <c r="CA80" s="79"/>
    </row>
    <row r="81" spans="1:79">
      <c r="A81" s="129">
        <v>44227</v>
      </c>
      <c r="B81" s="37"/>
      <c r="C81" s="79"/>
      <c r="E81" s="117">
        <v>44226</v>
      </c>
      <c r="F81" s="37"/>
      <c r="G81" s="120"/>
      <c r="I81" s="119">
        <v>44225</v>
      </c>
      <c r="L81" s="37"/>
      <c r="M81" s="37"/>
      <c r="N81" s="119">
        <v>44225</v>
      </c>
      <c r="R81" s="37"/>
      <c r="S81" s="130"/>
      <c r="U81" s="152">
        <v>44227</v>
      </c>
      <c r="V81" s="37"/>
      <c r="W81" s="79"/>
      <c r="Y81" s="117">
        <v>44227</v>
      </c>
      <c r="Z81" s="37"/>
      <c r="AA81" s="79"/>
      <c r="AC81" s="117">
        <v>44226</v>
      </c>
      <c r="AD81" s="37"/>
      <c r="AE81" s="80"/>
      <c r="AG81" s="117">
        <v>44226</v>
      </c>
      <c r="AH81" s="37"/>
      <c r="AI81" s="80"/>
      <c r="AK81" s="121" t="s">
        <v>85</v>
      </c>
      <c r="AL81" s="121">
        <f>COUNTA(AL69:AL80)</f>
        <v>10</v>
      </c>
      <c r="AM81" s="158">
        <f>IF(AL81&lt;=$U$45,1,AL81/$U$45)</f>
        <v>1</v>
      </c>
      <c r="AO81" s="152">
        <v>44226</v>
      </c>
      <c r="AP81" s="37"/>
      <c r="AQ81" s="79"/>
      <c r="AS81" s="152">
        <v>44226</v>
      </c>
      <c r="AT81" s="37"/>
      <c r="AU81" s="79"/>
      <c r="AW81" s="152">
        <v>44226</v>
      </c>
      <c r="AX81" s="37"/>
      <c r="AY81" s="79"/>
      <c r="BA81" s="152">
        <v>44226</v>
      </c>
      <c r="BB81" s="37"/>
      <c r="BC81" s="79"/>
      <c r="BE81" s="152">
        <v>44226</v>
      </c>
      <c r="BF81" s="37"/>
      <c r="BG81" s="79"/>
      <c r="BI81" s="152">
        <v>44226</v>
      </c>
      <c r="BJ81" s="37"/>
      <c r="BK81" s="79"/>
      <c r="BM81" s="152">
        <v>44226</v>
      </c>
      <c r="BN81" s="37"/>
      <c r="BO81" s="79"/>
      <c r="BQ81" s="152">
        <v>44226</v>
      </c>
      <c r="BR81" s="37"/>
      <c r="BS81" s="79"/>
      <c r="BU81" s="152">
        <v>44226</v>
      </c>
      <c r="BV81" s="37"/>
      <c r="BW81" s="79"/>
      <c r="BY81" s="152">
        <v>44226</v>
      </c>
      <c r="BZ81" s="37"/>
      <c r="CA81" s="79"/>
    </row>
    <row r="82" spans="1:79">
      <c r="A82" s="131">
        <v>44228</v>
      </c>
      <c r="B82" s="79">
        <v>5</v>
      </c>
      <c r="C82" s="79"/>
      <c r="E82" s="117">
        <v>44227</v>
      </c>
      <c r="F82" s="37"/>
      <c r="G82" s="120"/>
      <c r="I82" s="117">
        <v>44226</v>
      </c>
      <c r="J82" s="37"/>
      <c r="K82" s="37"/>
      <c r="L82" s="119"/>
      <c r="M82" s="119"/>
      <c r="N82" s="117">
        <v>44226</v>
      </c>
      <c r="O82" s="37"/>
      <c r="P82" s="37"/>
      <c r="R82" s="120">
        <v>3</v>
      </c>
      <c r="S82" s="125"/>
      <c r="U82" s="154">
        <v>44228</v>
      </c>
      <c r="V82" s="79">
        <v>5</v>
      </c>
      <c r="W82" s="79"/>
      <c r="Y82" s="118">
        <v>44228</v>
      </c>
      <c r="Z82" s="79">
        <v>9</v>
      </c>
      <c r="AA82" s="79"/>
      <c r="AC82" s="117">
        <v>44227</v>
      </c>
      <c r="AD82" s="37"/>
      <c r="AE82" s="80"/>
      <c r="AG82" s="117">
        <v>44227</v>
      </c>
      <c r="AH82" s="37"/>
      <c r="AI82" s="80"/>
      <c r="AK82" s="117">
        <v>44226</v>
      </c>
      <c r="AL82" s="37"/>
      <c r="AM82" s="159"/>
      <c r="AO82" s="152">
        <v>44227</v>
      </c>
      <c r="AP82" s="37"/>
      <c r="AQ82" s="79"/>
      <c r="AS82" s="152">
        <v>44227</v>
      </c>
      <c r="AT82" s="37"/>
      <c r="AU82" s="79"/>
      <c r="AW82" s="152">
        <v>44227</v>
      </c>
      <c r="AX82" s="37"/>
      <c r="AY82" s="79"/>
      <c r="BA82" s="152">
        <v>44227</v>
      </c>
      <c r="BB82" s="37"/>
      <c r="BC82" s="79"/>
      <c r="BE82" s="152">
        <v>44227</v>
      </c>
      <c r="BF82" s="37"/>
      <c r="BG82" s="79"/>
      <c r="BI82" s="152">
        <v>44227</v>
      </c>
      <c r="BJ82" s="37"/>
      <c r="BK82" s="79"/>
      <c r="BM82" s="152">
        <v>44227</v>
      </c>
      <c r="BN82" s="37"/>
      <c r="BO82" s="79"/>
      <c r="BQ82" s="152">
        <v>44227</v>
      </c>
      <c r="BR82" s="37"/>
      <c r="BS82" s="79"/>
      <c r="BU82" s="152">
        <v>44227</v>
      </c>
      <c r="BV82" s="37"/>
      <c r="BW82" s="79"/>
      <c r="BY82" s="152">
        <v>44227</v>
      </c>
      <c r="BZ82" s="37"/>
      <c r="CA82" s="79"/>
    </row>
    <row r="83" spans="1:79">
      <c r="A83" s="133">
        <v>44229</v>
      </c>
      <c r="C83" s="79"/>
      <c r="E83" s="80">
        <v>44228</v>
      </c>
      <c r="F83" s="120">
        <v>3</v>
      </c>
      <c r="G83" s="120"/>
      <c r="I83" s="117">
        <v>44227</v>
      </c>
      <c r="J83" s="37"/>
      <c r="K83" s="37"/>
      <c r="N83" s="117">
        <v>44227</v>
      </c>
      <c r="O83" s="37"/>
      <c r="P83" s="37"/>
      <c r="R83" s="120">
        <v>4</v>
      </c>
      <c r="S83" s="125"/>
      <c r="U83" s="156">
        <v>44229</v>
      </c>
      <c r="W83" s="79"/>
      <c r="Y83" s="118">
        <v>44229</v>
      </c>
      <c r="Z83" s="79">
        <v>10</v>
      </c>
      <c r="AA83" s="79"/>
      <c r="AC83" s="80">
        <v>44228</v>
      </c>
      <c r="AD83" s="120">
        <v>3</v>
      </c>
      <c r="AE83" s="80"/>
      <c r="AG83" s="80">
        <v>44228</v>
      </c>
      <c r="AH83" s="120">
        <v>7</v>
      </c>
      <c r="AI83" s="80"/>
      <c r="AK83" s="117">
        <v>44227</v>
      </c>
      <c r="AL83" s="37"/>
      <c r="AM83" s="159"/>
      <c r="AO83" s="154">
        <v>44228</v>
      </c>
      <c r="AP83" s="79">
        <v>5</v>
      </c>
      <c r="AQ83" s="79"/>
      <c r="AS83" s="154">
        <v>44228</v>
      </c>
      <c r="AT83" s="79">
        <v>9</v>
      </c>
      <c r="AU83" s="79"/>
      <c r="AW83" s="154">
        <v>44228</v>
      </c>
      <c r="AX83" s="79">
        <v>13</v>
      </c>
      <c r="AY83" s="79"/>
      <c r="BA83" s="154">
        <v>44228</v>
      </c>
      <c r="BB83" s="79">
        <v>17</v>
      </c>
      <c r="BC83" s="79"/>
      <c r="BE83" s="154">
        <v>44228</v>
      </c>
      <c r="BF83" s="79">
        <v>21</v>
      </c>
      <c r="BG83" s="79"/>
      <c r="BI83" s="154">
        <v>44228</v>
      </c>
      <c r="BJ83" s="79">
        <v>5</v>
      </c>
      <c r="BK83" s="79"/>
      <c r="BM83" s="154">
        <v>44228</v>
      </c>
      <c r="BN83" s="79">
        <v>9</v>
      </c>
      <c r="BO83" s="79"/>
      <c r="BQ83" s="154">
        <v>44228</v>
      </c>
      <c r="BR83" s="79">
        <v>13</v>
      </c>
      <c r="BS83" s="79"/>
      <c r="BU83" s="154">
        <v>44228</v>
      </c>
      <c r="BV83" s="79">
        <v>17</v>
      </c>
      <c r="BW83" s="79"/>
      <c r="BY83" s="154">
        <v>44228</v>
      </c>
      <c r="BZ83" s="79">
        <v>21</v>
      </c>
      <c r="CA83" s="79"/>
    </row>
    <row r="84" spans="1:79">
      <c r="A84" s="133">
        <v>44230</v>
      </c>
      <c r="C84" s="79"/>
      <c r="D84" s="119"/>
      <c r="E84" s="80">
        <v>44229</v>
      </c>
      <c r="F84" s="120">
        <v>4</v>
      </c>
      <c r="G84" s="120"/>
      <c r="H84" s="119"/>
      <c r="I84" s="118">
        <v>44228</v>
      </c>
      <c r="J84" s="79">
        <v>1</v>
      </c>
      <c r="K84" s="118"/>
      <c r="N84" s="118">
        <v>44228</v>
      </c>
      <c r="O84" s="79">
        <v>5</v>
      </c>
      <c r="P84" s="79">
        <v>1</v>
      </c>
      <c r="Q84" s="119"/>
      <c r="R84" s="120">
        <v>5</v>
      </c>
      <c r="S84" s="125"/>
      <c r="U84" s="156">
        <v>44230</v>
      </c>
      <c r="W84" s="118"/>
      <c r="X84" s="119"/>
      <c r="Y84" s="119">
        <v>44230</v>
      </c>
      <c r="AA84" s="118"/>
      <c r="AC84" s="80">
        <v>44229</v>
      </c>
      <c r="AD84" s="120">
        <v>4</v>
      </c>
      <c r="AE84" s="80"/>
      <c r="AG84" s="80">
        <v>44229</v>
      </c>
      <c r="AH84" s="120">
        <v>8</v>
      </c>
      <c r="AI84" s="80"/>
      <c r="AK84" s="118">
        <v>44228</v>
      </c>
      <c r="AL84" s="120">
        <v>1</v>
      </c>
      <c r="AM84" s="159"/>
      <c r="AO84" s="156">
        <v>44229</v>
      </c>
      <c r="AQ84" s="79"/>
      <c r="AS84" s="156">
        <v>44229</v>
      </c>
      <c r="AT84">
        <v>10</v>
      </c>
      <c r="AU84" s="79"/>
      <c r="AW84" s="156">
        <v>44229</v>
      </c>
      <c r="AX84">
        <v>14</v>
      </c>
      <c r="AY84" s="79"/>
      <c r="BA84" s="156">
        <v>44229</v>
      </c>
      <c r="BB84" s="79">
        <v>18</v>
      </c>
      <c r="BC84" s="79"/>
      <c r="BE84" s="156">
        <v>44229</v>
      </c>
      <c r="BF84" s="79">
        <v>22</v>
      </c>
      <c r="BG84" s="79"/>
      <c r="BI84" s="156">
        <v>44229</v>
      </c>
      <c r="BK84" s="79"/>
      <c r="BM84" s="156">
        <v>44229</v>
      </c>
      <c r="BN84">
        <v>10</v>
      </c>
      <c r="BO84" s="79"/>
      <c r="BQ84" s="156">
        <v>44229</v>
      </c>
      <c r="BR84">
        <v>14</v>
      </c>
      <c r="BS84" s="79"/>
      <c r="BU84" s="156">
        <v>44229</v>
      </c>
      <c r="BV84" s="79">
        <v>18</v>
      </c>
      <c r="BW84" s="79"/>
      <c r="BY84" s="156">
        <v>44229</v>
      </c>
      <c r="BZ84" s="79">
        <v>22</v>
      </c>
      <c r="CA84" s="79"/>
    </row>
    <row r="85" spans="1:79">
      <c r="A85" s="136" t="s">
        <v>85</v>
      </c>
      <c r="B85" s="121">
        <f>COUNTA(B54:B84)</f>
        <v>5</v>
      </c>
      <c r="C85" s="122">
        <f>IF(B85&lt;=$A$45,1,B85/$A$45)</f>
        <v>1</v>
      </c>
      <c r="D85" s="72"/>
      <c r="E85" s="119">
        <v>44230</v>
      </c>
      <c r="G85" s="120"/>
      <c r="H85" s="72"/>
      <c r="I85" s="118">
        <v>44229</v>
      </c>
      <c r="J85" s="79">
        <v>2</v>
      </c>
      <c r="K85" s="79"/>
      <c r="L85" s="122"/>
      <c r="M85" s="122"/>
      <c r="N85" s="118">
        <v>44229</v>
      </c>
      <c r="O85" s="79">
        <v>6</v>
      </c>
      <c r="P85" s="79">
        <v>2</v>
      </c>
      <c r="Q85" s="72"/>
      <c r="R85" s="121">
        <f>COUNTA(R54:R84)</f>
        <v>23</v>
      </c>
      <c r="S85" s="137">
        <f>IF(R85&lt;=$A$45,1,R85/$A$45)</f>
        <v>3.8333333333333335</v>
      </c>
      <c r="U85" s="160" t="s">
        <v>85</v>
      </c>
      <c r="V85" s="121">
        <f>COUNTA(V54:V84)</f>
        <v>5</v>
      </c>
      <c r="W85" s="122">
        <f>IF(V85&lt;=$U$45,1,V85/$U$45)</f>
        <v>1</v>
      </c>
      <c r="Y85" s="121" t="s">
        <v>85</v>
      </c>
      <c r="Z85" s="121">
        <f>COUNTA(Z54:Z84)</f>
        <v>10</v>
      </c>
      <c r="AA85" s="122">
        <f>IF(Z85&lt;=$U$45,1,Z85/$U$45)</f>
        <v>1</v>
      </c>
      <c r="AC85" s="80">
        <v>44230</v>
      </c>
      <c r="AD85" s="120">
        <v>5</v>
      </c>
      <c r="AE85" s="80"/>
      <c r="AG85" s="80">
        <v>44230</v>
      </c>
      <c r="AH85" s="120">
        <v>9</v>
      </c>
      <c r="AI85" s="80"/>
      <c r="AK85" s="119">
        <v>44229</v>
      </c>
      <c r="AL85" s="120">
        <v>2</v>
      </c>
      <c r="AM85" s="159"/>
      <c r="AO85" s="156">
        <v>44230</v>
      </c>
      <c r="AQ85" s="118"/>
      <c r="AR85" s="119"/>
      <c r="AS85" s="156">
        <v>44230</v>
      </c>
      <c r="AU85" s="118"/>
      <c r="AW85" s="156">
        <v>44230</v>
      </c>
      <c r="AX85">
        <v>15</v>
      </c>
      <c r="AY85" s="118"/>
      <c r="BA85" s="156">
        <v>44230</v>
      </c>
      <c r="BB85" s="79">
        <v>19</v>
      </c>
      <c r="BC85" s="118"/>
      <c r="BE85" s="156">
        <v>44230</v>
      </c>
      <c r="BF85" s="79">
        <v>23</v>
      </c>
      <c r="BG85" s="118"/>
      <c r="BI85" s="156">
        <v>44230</v>
      </c>
      <c r="BK85" s="118"/>
      <c r="BL85" s="119"/>
      <c r="BM85" s="156">
        <v>44230</v>
      </c>
      <c r="BO85" s="118"/>
      <c r="BQ85" s="156">
        <v>44230</v>
      </c>
      <c r="BR85">
        <v>15</v>
      </c>
      <c r="BS85" s="118"/>
      <c r="BU85" s="156">
        <v>44230</v>
      </c>
      <c r="BV85" s="79">
        <v>19</v>
      </c>
      <c r="BW85" s="118"/>
      <c r="BY85" s="156">
        <v>44230</v>
      </c>
      <c r="BZ85" s="79">
        <v>23</v>
      </c>
      <c r="CA85" s="118"/>
    </row>
    <row r="86" spans="1:79">
      <c r="A86" s="133">
        <v>44231</v>
      </c>
      <c r="E86" s="119">
        <v>44231</v>
      </c>
      <c r="G86" s="120"/>
      <c r="I86" s="118">
        <v>44230</v>
      </c>
      <c r="J86" s="79">
        <v>3</v>
      </c>
      <c r="K86" s="79"/>
      <c r="N86" s="121" t="s">
        <v>85</v>
      </c>
      <c r="O86" s="121">
        <f>COUNTA(O77:O85)</f>
        <v>6</v>
      </c>
      <c r="P86" s="122">
        <f>IF(O86&lt;=$A$45,1,O86/$A$45)</f>
        <v>1</v>
      </c>
      <c r="R86" s="120">
        <v>6</v>
      </c>
      <c r="S86" s="125"/>
      <c r="U86" s="156">
        <v>44231</v>
      </c>
      <c r="Y86" s="119">
        <v>44231</v>
      </c>
      <c r="AC86" s="119">
        <v>44231</v>
      </c>
      <c r="AE86" s="80"/>
      <c r="AG86" s="80">
        <v>44231</v>
      </c>
      <c r="AH86" s="120">
        <v>10</v>
      </c>
      <c r="AI86" s="80"/>
      <c r="AK86" s="119">
        <v>44230</v>
      </c>
      <c r="AL86" s="120">
        <v>3</v>
      </c>
      <c r="AM86" s="159"/>
      <c r="AO86" s="156">
        <v>44231</v>
      </c>
      <c r="AQ86" s="118"/>
      <c r="AS86" s="156">
        <v>44231</v>
      </c>
      <c r="AU86" s="118"/>
      <c r="AW86" s="156">
        <v>44231</v>
      </c>
      <c r="AY86" s="118"/>
      <c r="BA86" s="156">
        <v>44231</v>
      </c>
      <c r="BB86" s="79">
        <v>20</v>
      </c>
      <c r="BC86" s="118"/>
      <c r="BE86" s="156">
        <v>44231</v>
      </c>
      <c r="BF86" s="79">
        <v>24</v>
      </c>
      <c r="BG86" s="118"/>
      <c r="BI86" s="156">
        <v>44231</v>
      </c>
      <c r="BK86" s="118"/>
      <c r="BM86" s="156">
        <v>44231</v>
      </c>
      <c r="BO86" s="118"/>
      <c r="BQ86" s="156">
        <v>44231</v>
      </c>
      <c r="BS86" s="118"/>
      <c r="BU86" s="156">
        <v>44231</v>
      </c>
      <c r="BV86" s="79">
        <v>20</v>
      </c>
      <c r="BW86" s="118"/>
      <c r="BY86" s="156">
        <v>44231</v>
      </c>
      <c r="BZ86" s="79">
        <v>24</v>
      </c>
      <c r="CA86" s="118"/>
    </row>
    <row r="87" spans="1:79">
      <c r="A87" s="133">
        <v>44232</v>
      </c>
      <c r="D87" s="119"/>
      <c r="E87" s="119">
        <v>44232</v>
      </c>
      <c r="G87" s="120"/>
      <c r="H87" s="119"/>
      <c r="I87" s="119">
        <v>44231</v>
      </c>
      <c r="K87" s="79"/>
      <c r="L87" s="119"/>
      <c r="M87" s="119"/>
      <c r="N87" s="80">
        <v>44230</v>
      </c>
      <c r="O87" s="120">
        <v>1</v>
      </c>
      <c r="P87" s="120">
        <v>3</v>
      </c>
      <c r="Q87" s="119"/>
      <c r="R87" s="79">
        <v>1</v>
      </c>
      <c r="S87" s="132"/>
      <c r="U87" s="156">
        <v>44232</v>
      </c>
      <c r="V87" s="119"/>
      <c r="W87" s="119"/>
      <c r="X87" s="119"/>
      <c r="Y87" s="119">
        <v>44232</v>
      </c>
      <c r="Z87" s="119"/>
      <c r="AA87" s="119"/>
      <c r="AC87" s="119">
        <v>44232</v>
      </c>
      <c r="AD87" s="119"/>
      <c r="AE87" s="80"/>
      <c r="AG87" s="121" t="s">
        <v>85</v>
      </c>
      <c r="AH87" s="121">
        <f>COUNTA(AH71:AH86)</f>
        <v>10</v>
      </c>
      <c r="AI87" s="122">
        <f>IF(AH87&lt;=$U$45,1,AH87/$U$45)</f>
        <v>1</v>
      </c>
      <c r="AK87" s="119">
        <v>44231</v>
      </c>
      <c r="AL87" s="120">
        <v>4</v>
      </c>
      <c r="AM87" s="159"/>
      <c r="AO87" s="156">
        <v>44232</v>
      </c>
      <c r="AP87" s="119"/>
      <c r="AQ87" s="118"/>
      <c r="AS87" s="156">
        <v>44232</v>
      </c>
      <c r="AT87" s="119"/>
      <c r="AU87" s="118"/>
      <c r="AW87" s="156">
        <v>44232</v>
      </c>
      <c r="AX87" s="119"/>
      <c r="AY87" s="118"/>
      <c r="BA87" s="156">
        <v>44232</v>
      </c>
      <c r="BB87" s="119"/>
      <c r="BC87" s="118"/>
      <c r="BE87" s="156">
        <v>44232</v>
      </c>
      <c r="BF87" s="79">
        <v>25</v>
      </c>
      <c r="BG87" s="118"/>
      <c r="BI87" s="156">
        <v>44232</v>
      </c>
      <c r="BJ87" s="119"/>
      <c r="BK87" s="118"/>
      <c r="BM87" s="156">
        <v>44232</v>
      </c>
      <c r="BN87" s="119"/>
      <c r="BO87" s="118"/>
      <c r="BQ87" s="156">
        <v>44232</v>
      </c>
      <c r="BR87" s="119"/>
      <c r="BS87" s="118"/>
      <c r="BU87" s="156">
        <v>44232</v>
      </c>
      <c r="BV87" s="119"/>
      <c r="BW87" s="118"/>
      <c r="BY87" s="156">
        <v>44232</v>
      </c>
      <c r="BZ87" s="79">
        <v>25</v>
      </c>
      <c r="CA87" s="118"/>
    </row>
    <row r="88" spans="1:79">
      <c r="A88" s="129">
        <v>44233</v>
      </c>
      <c r="B88" s="37"/>
      <c r="C88" s="37"/>
      <c r="E88" s="117">
        <v>44233</v>
      </c>
      <c r="F88" s="37"/>
      <c r="G88" s="120"/>
      <c r="I88" s="119">
        <v>44232</v>
      </c>
      <c r="J88" s="119"/>
      <c r="K88" s="79"/>
      <c r="L88" s="37"/>
      <c r="M88" s="37"/>
      <c r="N88" s="80">
        <v>44231</v>
      </c>
      <c r="O88" s="120">
        <v>2</v>
      </c>
      <c r="P88" s="120">
        <v>4</v>
      </c>
      <c r="R88" s="37"/>
      <c r="S88" s="130"/>
      <c r="U88" s="152">
        <v>44233</v>
      </c>
      <c r="V88" s="37"/>
      <c r="Y88" s="117">
        <v>44233</v>
      </c>
      <c r="Z88" s="37"/>
      <c r="AC88" s="117">
        <v>44233</v>
      </c>
      <c r="AD88" s="37"/>
      <c r="AE88" s="80"/>
      <c r="AG88" s="119">
        <v>44232</v>
      </c>
      <c r="AH88" s="119"/>
      <c r="AI88" s="119"/>
      <c r="AK88" s="119">
        <v>44232</v>
      </c>
      <c r="AL88" s="120">
        <v>5</v>
      </c>
      <c r="AM88" s="148"/>
      <c r="AO88" s="152">
        <v>44233</v>
      </c>
      <c r="AP88" s="37"/>
      <c r="AQ88" s="118"/>
      <c r="AR88" s="119"/>
      <c r="AS88" s="152">
        <v>44233</v>
      </c>
      <c r="AT88" s="37"/>
      <c r="AU88" s="118"/>
      <c r="AW88" s="152">
        <v>44233</v>
      </c>
      <c r="AX88" s="37"/>
      <c r="AY88" s="118"/>
      <c r="BA88" s="152">
        <v>44233</v>
      </c>
      <c r="BB88" s="37"/>
      <c r="BC88" s="118"/>
      <c r="BE88" s="152">
        <v>44233</v>
      </c>
      <c r="BF88" s="37"/>
      <c r="BG88" s="118"/>
      <c r="BI88" s="152">
        <v>44233</v>
      </c>
      <c r="BJ88" s="37"/>
      <c r="BK88" s="118"/>
      <c r="BL88" s="119"/>
      <c r="BM88" s="152">
        <v>44233</v>
      </c>
      <c r="BN88" s="37"/>
      <c r="BO88" s="118"/>
      <c r="BQ88" s="152">
        <v>44233</v>
      </c>
      <c r="BR88" s="37"/>
      <c r="BS88" s="118"/>
      <c r="BU88" s="152">
        <v>44233</v>
      </c>
      <c r="BV88" s="37"/>
      <c r="BW88" s="118"/>
      <c r="BY88" s="152">
        <v>44233</v>
      </c>
      <c r="BZ88" s="37"/>
      <c r="CA88" s="118"/>
    </row>
    <row r="89" spans="1:79">
      <c r="A89" s="129">
        <v>44234</v>
      </c>
      <c r="B89" s="37"/>
      <c r="C89" s="37"/>
      <c r="E89" s="117">
        <v>44234</v>
      </c>
      <c r="F89" s="37"/>
      <c r="G89" s="120"/>
      <c r="I89" s="117">
        <v>44233</v>
      </c>
      <c r="J89" s="37"/>
      <c r="K89" s="79"/>
      <c r="L89" s="37"/>
      <c r="M89" s="37"/>
      <c r="N89" s="119">
        <v>44232</v>
      </c>
      <c r="O89" s="119"/>
      <c r="P89" s="119"/>
      <c r="R89" s="37"/>
      <c r="S89" s="130"/>
      <c r="U89" s="152">
        <v>44234</v>
      </c>
      <c r="V89" s="37"/>
      <c r="Y89" s="117">
        <v>44234</v>
      </c>
      <c r="Z89" s="37"/>
      <c r="AC89" s="117">
        <v>44234</v>
      </c>
      <c r="AD89" s="37"/>
      <c r="AE89" s="80"/>
      <c r="AG89" s="117">
        <v>44233</v>
      </c>
      <c r="AH89" s="37"/>
      <c r="AI89" s="37"/>
      <c r="AK89" s="117">
        <v>44233</v>
      </c>
      <c r="AL89" s="37"/>
      <c r="AM89" s="148"/>
      <c r="AO89" s="152">
        <v>44234</v>
      </c>
      <c r="AP89" s="37"/>
      <c r="AQ89" s="118"/>
      <c r="AS89" s="152">
        <v>44234</v>
      </c>
      <c r="AT89" s="37"/>
      <c r="AU89" s="118"/>
      <c r="AW89" s="152">
        <v>44234</v>
      </c>
      <c r="AX89" s="37"/>
      <c r="AY89" s="118"/>
      <c r="BA89" s="152">
        <v>44234</v>
      </c>
      <c r="BB89" s="37"/>
      <c r="BC89" s="118"/>
      <c r="BE89" s="152">
        <v>44234</v>
      </c>
      <c r="BF89" s="37"/>
      <c r="BG89" s="118"/>
      <c r="BI89" s="152">
        <v>44234</v>
      </c>
      <c r="BJ89" s="37"/>
      <c r="BK89" s="118"/>
      <c r="BM89" s="152">
        <v>44234</v>
      </c>
      <c r="BN89" s="37"/>
      <c r="BO89" s="118"/>
      <c r="BQ89" s="152">
        <v>44234</v>
      </c>
      <c r="BR89" s="37"/>
      <c r="BS89" s="118"/>
      <c r="BU89" s="152">
        <v>44234</v>
      </c>
      <c r="BV89" s="37"/>
      <c r="BW89" s="118"/>
      <c r="BY89" s="152">
        <v>44234</v>
      </c>
      <c r="BZ89" s="37"/>
      <c r="CA89" s="118"/>
    </row>
    <row r="90" spans="1:79">
      <c r="A90" s="138">
        <v>44235</v>
      </c>
      <c r="B90" s="120">
        <v>1</v>
      </c>
      <c r="C90" s="80">
        <f>EDATE($A90,1)-1</f>
        <v>44262</v>
      </c>
      <c r="D90" s="119"/>
      <c r="E90" s="80">
        <v>44235</v>
      </c>
      <c r="F90" s="120">
        <v>5</v>
      </c>
      <c r="G90" s="120"/>
      <c r="H90" s="119"/>
      <c r="I90" s="117">
        <v>44234</v>
      </c>
      <c r="J90" s="37"/>
      <c r="K90" s="79"/>
      <c r="N90" s="117">
        <v>44233</v>
      </c>
      <c r="O90" s="37"/>
      <c r="P90" s="37"/>
      <c r="Q90" s="119"/>
      <c r="R90" s="79">
        <v>2</v>
      </c>
      <c r="S90" s="134"/>
      <c r="U90" s="161">
        <v>44235</v>
      </c>
      <c r="V90" s="120">
        <v>1</v>
      </c>
      <c r="W90" s="80">
        <f>EDATE($U90,1)-$W$49</f>
        <v>44262</v>
      </c>
      <c r="X90" s="119"/>
      <c r="Y90" s="80">
        <v>44235</v>
      </c>
      <c r="Z90" s="120">
        <v>1</v>
      </c>
      <c r="AA90" s="80">
        <f>EDATE(Y90,1)-1</f>
        <v>44262</v>
      </c>
      <c r="AC90" s="80">
        <v>44235</v>
      </c>
      <c r="AD90" s="120">
        <v>6</v>
      </c>
      <c r="AE90" s="80"/>
      <c r="AG90" s="117">
        <v>44234</v>
      </c>
      <c r="AH90" s="37"/>
      <c r="AI90" s="37"/>
      <c r="AK90" s="117">
        <v>44234</v>
      </c>
      <c r="AL90" s="37"/>
      <c r="AM90" s="148"/>
      <c r="AO90" s="154">
        <v>44235</v>
      </c>
      <c r="AP90" s="79">
        <v>6</v>
      </c>
      <c r="AQ90" s="118"/>
      <c r="AS90" s="154">
        <v>44235</v>
      </c>
      <c r="AT90" s="79">
        <v>11</v>
      </c>
      <c r="AU90" s="118"/>
      <c r="AW90" s="154">
        <v>44235</v>
      </c>
      <c r="AX90" s="79">
        <v>16</v>
      </c>
      <c r="AY90" s="118"/>
      <c r="BA90" s="154">
        <v>44235</v>
      </c>
      <c r="BB90" s="79">
        <v>21</v>
      </c>
      <c r="BC90" s="118"/>
      <c r="BE90" s="154">
        <v>44235</v>
      </c>
      <c r="BF90" s="79">
        <v>26</v>
      </c>
      <c r="BG90" s="118"/>
      <c r="BI90" s="154">
        <v>44235</v>
      </c>
      <c r="BJ90" s="79">
        <v>6</v>
      </c>
      <c r="BK90" s="118"/>
      <c r="BM90" s="154">
        <v>44235</v>
      </c>
      <c r="BN90" s="79">
        <v>11</v>
      </c>
      <c r="BO90" s="118"/>
      <c r="BQ90" s="154">
        <v>44235</v>
      </c>
      <c r="BR90" s="79">
        <v>16</v>
      </c>
      <c r="BS90" s="118"/>
      <c r="BU90" s="154">
        <v>44235</v>
      </c>
      <c r="BV90" s="79">
        <v>21</v>
      </c>
      <c r="BW90" s="118"/>
      <c r="BY90" s="154">
        <v>44235</v>
      </c>
      <c r="BZ90" s="79">
        <v>26</v>
      </c>
      <c r="CA90" s="118"/>
    </row>
    <row r="91" spans="1:79">
      <c r="A91" s="133">
        <v>44236</v>
      </c>
      <c r="C91" s="80"/>
      <c r="E91" s="80">
        <v>44236</v>
      </c>
      <c r="F91" s="120">
        <v>6</v>
      </c>
      <c r="G91" s="120"/>
      <c r="I91" s="118">
        <v>44235</v>
      </c>
      <c r="J91" s="79">
        <v>4</v>
      </c>
      <c r="K91" s="79"/>
      <c r="N91" s="117">
        <v>44234</v>
      </c>
      <c r="O91" s="37"/>
      <c r="P91" s="37"/>
      <c r="R91" s="79">
        <v>3</v>
      </c>
      <c r="S91" s="134"/>
      <c r="U91" s="156">
        <v>44236</v>
      </c>
      <c r="W91" s="80"/>
      <c r="Y91" s="80">
        <v>44236</v>
      </c>
      <c r="Z91" s="120">
        <v>2</v>
      </c>
      <c r="AA91" s="80"/>
      <c r="AC91" s="80">
        <v>44236</v>
      </c>
      <c r="AD91" s="120">
        <v>7</v>
      </c>
      <c r="AE91" s="80"/>
      <c r="AG91" s="118">
        <v>44235</v>
      </c>
      <c r="AH91" s="79">
        <v>1</v>
      </c>
      <c r="AI91" s="79"/>
      <c r="AK91" s="118">
        <v>44235</v>
      </c>
      <c r="AL91" s="79">
        <v>6</v>
      </c>
      <c r="AM91" s="149"/>
      <c r="AO91" s="156">
        <v>44236</v>
      </c>
      <c r="AQ91" s="118"/>
      <c r="AR91" s="119"/>
      <c r="AS91" s="156">
        <v>44236</v>
      </c>
      <c r="AT91">
        <v>12</v>
      </c>
      <c r="AU91" s="118"/>
      <c r="AW91" s="156">
        <v>44236</v>
      </c>
      <c r="AX91">
        <v>17</v>
      </c>
      <c r="AY91" s="118"/>
      <c r="BA91" s="156">
        <v>44236</v>
      </c>
      <c r="BB91" s="79">
        <v>22</v>
      </c>
      <c r="BC91" s="118"/>
      <c r="BE91" s="156">
        <v>44236</v>
      </c>
      <c r="BF91" s="79">
        <v>27</v>
      </c>
      <c r="BG91" s="118"/>
      <c r="BI91" s="156">
        <v>44236</v>
      </c>
      <c r="BK91" s="118"/>
      <c r="BL91" s="119"/>
      <c r="BM91" s="156">
        <v>44236</v>
      </c>
      <c r="BN91">
        <v>12</v>
      </c>
      <c r="BO91" s="118"/>
      <c r="BQ91" s="156">
        <v>44236</v>
      </c>
      <c r="BR91">
        <v>17</v>
      </c>
      <c r="BS91" s="118"/>
      <c r="BU91" s="156">
        <v>44236</v>
      </c>
      <c r="BV91" s="79">
        <v>22</v>
      </c>
      <c r="BW91" s="118"/>
      <c r="BY91" s="156">
        <v>44236</v>
      </c>
      <c r="BZ91" s="79">
        <v>27</v>
      </c>
      <c r="CA91" s="118"/>
    </row>
    <row r="92" spans="1:79">
      <c r="A92" s="133">
        <v>44237</v>
      </c>
      <c r="C92" s="80"/>
      <c r="E92" s="121" t="s">
        <v>85</v>
      </c>
      <c r="F92" s="121">
        <f>COUNTA(F76:F91)</f>
        <v>6</v>
      </c>
      <c r="G92" s="122">
        <f>IF(F92&lt;=$A$45,1,F92/$A$45)</f>
        <v>1</v>
      </c>
      <c r="I92" s="118">
        <v>44236</v>
      </c>
      <c r="J92" s="79">
        <v>5</v>
      </c>
      <c r="K92" s="79"/>
      <c r="N92" s="80">
        <v>44235</v>
      </c>
      <c r="O92" s="120">
        <v>3</v>
      </c>
      <c r="P92" s="120">
        <v>1</v>
      </c>
      <c r="R92" s="79">
        <v>4</v>
      </c>
      <c r="S92" s="134"/>
      <c r="U92" s="156">
        <v>44237</v>
      </c>
      <c r="W92" s="80"/>
      <c r="Y92" s="119">
        <v>44237</v>
      </c>
      <c r="AA92" s="80"/>
      <c r="AC92" s="80">
        <v>44237</v>
      </c>
      <c r="AD92" s="120">
        <v>8</v>
      </c>
      <c r="AE92" s="80"/>
      <c r="AG92" s="118">
        <v>44236</v>
      </c>
      <c r="AH92" s="79">
        <v>2</v>
      </c>
      <c r="AI92" s="79"/>
      <c r="AK92" s="119">
        <v>44236</v>
      </c>
      <c r="AL92" s="79">
        <v>7</v>
      </c>
      <c r="AM92" s="149"/>
      <c r="AO92" s="156">
        <v>44237</v>
      </c>
      <c r="AQ92" s="118"/>
      <c r="AS92" s="156">
        <v>44237</v>
      </c>
      <c r="AU92" s="118"/>
      <c r="AW92" s="156">
        <v>44237</v>
      </c>
      <c r="AX92">
        <v>18</v>
      </c>
      <c r="AY92" s="118"/>
      <c r="BA92" s="156">
        <v>44237</v>
      </c>
      <c r="BB92" s="79">
        <v>23</v>
      </c>
      <c r="BC92" s="118"/>
      <c r="BE92" s="156">
        <v>44237</v>
      </c>
      <c r="BF92" s="79">
        <v>28</v>
      </c>
      <c r="BG92" s="118"/>
      <c r="BI92" s="156">
        <v>44237</v>
      </c>
      <c r="BK92" s="118"/>
      <c r="BM92" s="156">
        <v>44237</v>
      </c>
      <c r="BO92" s="118"/>
      <c r="BQ92" s="156">
        <v>44237</v>
      </c>
      <c r="BR92">
        <v>18</v>
      </c>
      <c r="BS92" s="118"/>
      <c r="BU92" s="156">
        <v>44237</v>
      </c>
      <c r="BV92" s="79">
        <v>23</v>
      </c>
      <c r="BW92" s="118"/>
      <c r="BY92" s="156">
        <v>44237</v>
      </c>
      <c r="BZ92" s="79">
        <v>28</v>
      </c>
      <c r="CA92" s="118"/>
    </row>
    <row r="93" spans="1:79">
      <c r="A93" s="133">
        <v>44238</v>
      </c>
      <c r="C93" s="80"/>
      <c r="E93" s="119">
        <v>44237</v>
      </c>
      <c r="F93" s="119"/>
      <c r="G93" s="119"/>
      <c r="I93" s="118">
        <v>44237</v>
      </c>
      <c r="J93" s="79">
        <v>6</v>
      </c>
      <c r="K93" s="79"/>
      <c r="M93" s="119"/>
      <c r="N93" s="80">
        <v>44236</v>
      </c>
      <c r="O93" s="120">
        <v>4</v>
      </c>
      <c r="P93" s="120">
        <v>2</v>
      </c>
      <c r="R93" s="119"/>
      <c r="S93" s="125"/>
      <c r="U93" s="156">
        <v>44238</v>
      </c>
      <c r="W93" s="80"/>
      <c r="Y93" s="119">
        <v>44238</v>
      </c>
      <c r="AA93" s="80"/>
      <c r="AC93" s="119">
        <v>44238</v>
      </c>
      <c r="AE93" s="80"/>
      <c r="AG93" s="118">
        <v>44237</v>
      </c>
      <c r="AH93" s="79">
        <v>3</v>
      </c>
      <c r="AI93" s="79"/>
      <c r="AK93" s="119">
        <v>44237</v>
      </c>
      <c r="AL93" s="79">
        <v>8</v>
      </c>
      <c r="AM93" s="149"/>
      <c r="AO93" s="156">
        <v>44238</v>
      </c>
      <c r="AQ93" s="118"/>
      <c r="AS93" s="156">
        <v>44238</v>
      </c>
      <c r="AU93" s="118"/>
      <c r="AW93" s="156">
        <v>44238</v>
      </c>
      <c r="AY93" s="118"/>
      <c r="BA93" s="156">
        <v>44238</v>
      </c>
      <c r="BB93" s="79">
        <v>24</v>
      </c>
      <c r="BC93" s="118"/>
      <c r="BE93" s="156">
        <v>44238</v>
      </c>
      <c r="BF93" s="79">
        <v>29</v>
      </c>
      <c r="BG93" s="118"/>
      <c r="BI93" s="156">
        <v>44238</v>
      </c>
      <c r="BK93" s="118"/>
      <c r="BM93" s="156">
        <v>44238</v>
      </c>
      <c r="BO93" s="118"/>
      <c r="BQ93" s="156">
        <v>44238</v>
      </c>
      <c r="BS93" s="118"/>
      <c r="BU93" s="156">
        <v>44238</v>
      </c>
      <c r="BV93" s="79">
        <v>24</v>
      </c>
      <c r="BW93" s="118"/>
      <c r="BY93" s="156">
        <v>44238</v>
      </c>
      <c r="BZ93" s="79">
        <v>29</v>
      </c>
      <c r="CA93" s="118"/>
    </row>
    <row r="94" spans="1:79">
      <c r="A94" s="133">
        <v>44239</v>
      </c>
      <c r="C94" s="80"/>
      <c r="E94" s="119">
        <v>44238</v>
      </c>
      <c r="F94" s="119"/>
      <c r="G94" s="119"/>
      <c r="I94" s="121" t="s">
        <v>85</v>
      </c>
      <c r="J94" s="121">
        <f>COUNTA(J84:J93)</f>
        <v>6</v>
      </c>
      <c r="K94" s="122">
        <f>IF(J94&lt;=$A$45,1,J94/$A$45)</f>
        <v>1</v>
      </c>
      <c r="N94" s="80">
        <v>44237</v>
      </c>
      <c r="O94" s="120">
        <v>5</v>
      </c>
      <c r="P94" s="120">
        <v>3</v>
      </c>
      <c r="S94" s="125"/>
      <c r="U94" s="156">
        <v>44239</v>
      </c>
      <c r="W94" s="80"/>
      <c r="Y94" s="119">
        <v>44239</v>
      </c>
      <c r="AA94" s="80"/>
      <c r="AC94" s="119">
        <v>44239</v>
      </c>
      <c r="AE94" s="80"/>
      <c r="AG94" s="118">
        <v>44238</v>
      </c>
      <c r="AH94" s="79">
        <v>4</v>
      </c>
      <c r="AI94" s="79"/>
      <c r="AK94" s="119">
        <v>44238</v>
      </c>
      <c r="AL94" s="79">
        <v>9</v>
      </c>
      <c r="AM94" s="149"/>
      <c r="AO94" s="156">
        <v>44239</v>
      </c>
      <c r="AQ94" s="118"/>
      <c r="AS94" s="156">
        <v>44239</v>
      </c>
      <c r="AU94" s="118"/>
      <c r="AW94" s="156">
        <v>44239</v>
      </c>
      <c r="AY94" s="118"/>
      <c r="BA94" s="156">
        <v>44239</v>
      </c>
      <c r="BC94" s="118"/>
      <c r="BE94" s="156">
        <v>44239</v>
      </c>
      <c r="BF94" s="79">
        <v>30</v>
      </c>
      <c r="BG94" s="118"/>
      <c r="BI94" s="156">
        <v>44239</v>
      </c>
      <c r="BK94" s="118"/>
      <c r="BM94" s="156">
        <v>44239</v>
      </c>
      <c r="BO94" s="118"/>
      <c r="BQ94" s="156">
        <v>44239</v>
      </c>
      <c r="BS94" s="118"/>
      <c r="BU94" s="156">
        <v>44239</v>
      </c>
      <c r="BW94" s="118"/>
      <c r="BY94" s="156">
        <v>44239</v>
      </c>
      <c r="BZ94" s="79">
        <v>30</v>
      </c>
      <c r="CA94" s="118"/>
    </row>
    <row r="95" spans="1:79">
      <c r="A95" s="129">
        <v>44240</v>
      </c>
      <c r="B95" s="37"/>
      <c r="C95" s="80"/>
      <c r="E95" s="119">
        <v>44239</v>
      </c>
      <c r="F95" s="119"/>
      <c r="G95" s="119"/>
      <c r="I95" s="119">
        <v>44238</v>
      </c>
      <c r="L95" s="37"/>
      <c r="M95" s="37"/>
      <c r="N95" s="80">
        <v>44238</v>
      </c>
      <c r="O95" s="120">
        <v>6</v>
      </c>
      <c r="P95" s="120">
        <v>4</v>
      </c>
      <c r="R95" s="37"/>
      <c r="S95" s="125"/>
      <c r="U95" s="152">
        <v>44240</v>
      </c>
      <c r="V95" s="37"/>
      <c r="W95" s="80"/>
      <c r="Y95" s="117">
        <v>44240</v>
      </c>
      <c r="Z95" s="37"/>
      <c r="AA95" s="80"/>
      <c r="AC95" s="117">
        <v>44240</v>
      </c>
      <c r="AD95" s="37"/>
      <c r="AE95" s="80"/>
      <c r="AG95" s="119">
        <v>44239</v>
      </c>
      <c r="AI95" s="79"/>
      <c r="AK95" s="119">
        <v>44239</v>
      </c>
      <c r="AL95" s="79">
        <v>10</v>
      </c>
      <c r="AM95" s="149"/>
      <c r="AO95" s="152">
        <v>44240</v>
      </c>
      <c r="AP95" s="37"/>
      <c r="AQ95" s="118"/>
      <c r="AS95" s="152">
        <v>44240</v>
      </c>
      <c r="AT95" s="37"/>
      <c r="AU95" s="118"/>
      <c r="AW95" s="152">
        <v>44240</v>
      </c>
      <c r="AX95" s="37"/>
      <c r="AY95" s="118"/>
      <c r="BA95" s="152">
        <v>44240</v>
      </c>
      <c r="BB95" s="37"/>
      <c r="BC95" s="118"/>
      <c r="BE95" s="152">
        <v>44240</v>
      </c>
      <c r="BF95" s="37"/>
      <c r="BG95" s="118"/>
      <c r="BI95" s="152">
        <v>44240</v>
      </c>
      <c r="BJ95" s="37"/>
      <c r="BK95" s="118"/>
      <c r="BM95" s="152">
        <v>44240</v>
      </c>
      <c r="BN95" s="37"/>
      <c r="BO95" s="118"/>
      <c r="BQ95" s="152">
        <v>44240</v>
      </c>
      <c r="BR95" s="37"/>
      <c r="BS95" s="118"/>
      <c r="BU95" s="152">
        <v>44240</v>
      </c>
      <c r="BV95" s="37"/>
      <c r="BW95" s="118"/>
      <c r="BY95" s="152">
        <v>44240</v>
      </c>
      <c r="BZ95" s="37"/>
      <c r="CA95" s="118"/>
    </row>
    <row r="96" spans="1:79">
      <c r="A96" s="129">
        <v>44241</v>
      </c>
      <c r="B96" s="37"/>
      <c r="C96" s="80"/>
      <c r="E96" s="117">
        <v>44240</v>
      </c>
      <c r="F96" s="117"/>
      <c r="G96" s="117"/>
      <c r="I96" s="119">
        <v>44239</v>
      </c>
      <c r="L96" s="37"/>
      <c r="M96" s="37"/>
      <c r="N96" s="121" t="s">
        <v>85</v>
      </c>
      <c r="O96" s="121">
        <f>COUNTA(O87:O95)</f>
        <v>6</v>
      </c>
      <c r="P96" s="122">
        <f>IF(O96&lt;=$A$45,1,O96/$A$45)</f>
        <v>1</v>
      </c>
      <c r="R96" s="37"/>
      <c r="S96" s="125"/>
      <c r="U96" s="152">
        <v>44241</v>
      </c>
      <c r="V96" s="37"/>
      <c r="W96" s="80"/>
      <c r="Y96" s="117">
        <v>44241</v>
      </c>
      <c r="Z96" s="37"/>
      <c r="AA96" s="80"/>
      <c r="AC96" s="117">
        <v>44241</v>
      </c>
      <c r="AD96" s="37"/>
      <c r="AE96" s="80"/>
      <c r="AG96" s="117">
        <v>44240</v>
      </c>
      <c r="AH96" s="37"/>
      <c r="AI96" s="79"/>
      <c r="AK96" s="121" t="s">
        <v>85</v>
      </c>
      <c r="AL96" s="121">
        <f>COUNTA(AL84:AL95)</f>
        <v>10</v>
      </c>
      <c r="AM96" s="158">
        <f>IF(AL96&lt;=$U$45,1,AL96/$U$45)</f>
        <v>1</v>
      </c>
      <c r="AO96" s="152">
        <v>44241</v>
      </c>
      <c r="AP96" s="37"/>
      <c r="AQ96" s="118"/>
      <c r="AS96" s="152">
        <v>44241</v>
      </c>
      <c r="AT96" s="37"/>
      <c r="AU96" s="118"/>
      <c r="AW96" s="152">
        <v>44241</v>
      </c>
      <c r="AX96" s="37"/>
      <c r="AY96" s="118"/>
      <c r="BA96" s="152">
        <v>44241</v>
      </c>
      <c r="BB96" s="37"/>
      <c r="BC96" s="118"/>
      <c r="BE96" s="152">
        <v>44241</v>
      </c>
      <c r="BF96" s="37"/>
      <c r="BG96" s="118"/>
      <c r="BI96" s="152">
        <v>44241</v>
      </c>
      <c r="BJ96" s="37"/>
      <c r="BK96" s="118"/>
      <c r="BM96" s="152">
        <v>44241</v>
      </c>
      <c r="BN96" s="37"/>
      <c r="BO96" s="118"/>
      <c r="BQ96" s="152">
        <v>44241</v>
      </c>
      <c r="BR96" s="37"/>
      <c r="BS96" s="118"/>
      <c r="BU96" s="152">
        <v>44241</v>
      </c>
      <c r="BV96" s="37"/>
      <c r="BW96" s="118"/>
      <c r="BY96" s="152">
        <v>44241</v>
      </c>
      <c r="BZ96" s="37"/>
      <c r="CA96" s="118"/>
    </row>
    <row r="97" spans="1:79">
      <c r="A97" s="138">
        <v>44242</v>
      </c>
      <c r="B97" s="120">
        <v>2</v>
      </c>
      <c r="C97" s="80"/>
      <c r="E97" s="117">
        <v>44241</v>
      </c>
      <c r="F97" s="117"/>
      <c r="G97" s="117"/>
      <c r="I97" s="117">
        <v>44240</v>
      </c>
      <c r="L97" s="120">
        <v>1</v>
      </c>
      <c r="M97" s="123">
        <f>EDATE($A97,1)-1</f>
        <v>44269</v>
      </c>
      <c r="N97" s="119">
        <v>44239</v>
      </c>
      <c r="O97" s="119"/>
      <c r="P97" s="119"/>
      <c r="R97" s="118">
        <f>EDATE($A97,1)-1</f>
        <v>44269</v>
      </c>
      <c r="S97" s="125"/>
      <c r="U97" s="161">
        <v>44242</v>
      </c>
      <c r="V97" s="120">
        <v>2</v>
      </c>
      <c r="W97" s="80"/>
      <c r="X97" s="119"/>
      <c r="Y97" s="80">
        <v>44242</v>
      </c>
      <c r="Z97" s="120">
        <v>3</v>
      </c>
      <c r="AA97" s="80"/>
      <c r="AC97" s="80">
        <v>44242</v>
      </c>
      <c r="AD97" s="120">
        <v>9</v>
      </c>
      <c r="AE97" s="80"/>
      <c r="AG97" s="117">
        <v>44241</v>
      </c>
      <c r="AH97" s="37"/>
      <c r="AI97" s="79"/>
      <c r="AK97" s="117">
        <v>44240</v>
      </c>
      <c r="AL97" s="37"/>
      <c r="AM97" s="149"/>
      <c r="AO97" s="154">
        <v>44242</v>
      </c>
      <c r="AP97" s="79">
        <v>7</v>
      </c>
      <c r="AQ97" s="118"/>
      <c r="AS97" s="154">
        <v>44242</v>
      </c>
      <c r="AT97" s="79">
        <v>13</v>
      </c>
      <c r="AU97" s="118"/>
      <c r="AW97" s="154">
        <v>44242</v>
      </c>
      <c r="AX97" s="79">
        <v>19</v>
      </c>
      <c r="AY97" s="118"/>
      <c r="BA97" s="154">
        <v>44242</v>
      </c>
      <c r="BB97" s="79">
        <v>25</v>
      </c>
      <c r="BC97" s="118"/>
      <c r="BE97" s="154">
        <v>44242</v>
      </c>
      <c r="BF97" s="79">
        <v>31</v>
      </c>
      <c r="BG97" s="118"/>
      <c r="BI97" s="154">
        <v>44242</v>
      </c>
      <c r="BJ97" s="79">
        <v>7</v>
      </c>
      <c r="BK97" s="118"/>
      <c r="BM97" s="154">
        <v>44242</v>
      </c>
      <c r="BN97" s="79">
        <v>13</v>
      </c>
      <c r="BO97" s="118"/>
      <c r="BQ97" s="154">
        <v>44242</v>
      </c>
      <c r="BR97" s="79">
        <v>19</v>
      </c>
      <c r="BS97" s="118"/>
      <c r="BU97" s="154">
        <v>44242</v>
      </c>
      <c r="BV97" s="79">
        <v>25</v>
      </c>
      <c r="BW97" s="118"/>
      <c r="BY97" s="154">
        <v>44242</v>
      </c>
      <c r="BZ97" s="79">
        <v>31</v>
      </c>
      <c r="CA97" s="118"/>
    </row>
    <row r="98" spans="1:79">
      <c r="A98" s="133">
        <v>44243</v>
      </c>
      <c r="C98" s="80"/>
      <c r="E98" s="118">
        <v>44242</v>
      </c>
      <c r="F98" s="79">
        <v>1</v>
      </c>
      <c r="G98" s="118"/>
      <c r="I98" s="117">
        <v>44241</v>
      </c>
      <c r="N98" s="117">
        <v>44240</v>
      </c>
      <c r="O98" s="37"/>
      <c r="P98" s="37"/>
      <c r="R98" s="120">
        <v>2</v>
      </c>
      <c r="S98" s="125"/>
      <c r="U98" s="156">
        <v>44243</v>
      </c>
      <c r="W98" s="80"/>
      <c r="Y98" s="80">
        <v>44243</v>
      </c>
      <c r="Z98" s="120">
        <v>4</v>
      </c>
      <c r="AA98" s="80"/>
      <c r="AC98" s="80">
        <v>44243</v>
      </c>
      <c r="AD98" s="120">
        <v>10</v>
      </c>
      <c r="AE98" s="80"/>
      <c r="AG98" s="118">
        <v>44242</v>
      </c>
      <c r="AH98" s="79">
        <v>5</v>
      </c>
      <c r="AI98" s="79"/>
      <c r="AK98" s="117">
        <v>44241</v>
      </c>
      <c r="AL98" s="37"/>
      <c r="AM98" s="149"/>
      <c r="AO98" s="156">
        <v>44243</v>
      </c>
      <c r="AQ98" s="118"/>
      <c r="AR98" s="119"/>
      <c r="AS98" s="156">
        <v>44243</v>
      </c>
      <c r="AT98">
        <v>14</v>
      </c>
      <c r="AU98" s="118"/>
      <c r="AW98" s="156">
        <v>44243</v>
      </c>
      <c r="AX98">
        <v>20</v>
      </c>
      <c r="AY98" s="118"/>
      <c r="BA98" s="156">
        <v>44243</v>
      </c>
      <c r="BB98" s="79">
        <v>26</v>
      </c>
      <c r="BC98" s="118"/>
      <c r="BE98" s="156">
        <v>44243</v>
      </c>
      <c r="BF98" s="79">
        <v>32</v>
      </c>
      <c r="BG98" s="118"/>
      <c r="BI98" s="156">
        <v>44243</v>
      </c>
      <c r="BK98" s="118"/>
      <c r="BL98" s="119"/>
      <c r="BM98" s="156">
        <v>44243</v>
      </c>
      <c r="BN98">
        <v>14</v>
      </c>
      <c r="BO98" s="118"/>
      <c r="BQ98" s="156">
        <v>44243</v>
      </c>
      <c r="BR98">
        <v>20</v>
      </c>
      <c r="BS98" s="118"/>
      <c r="BU98" s="156">
        <v>44243</v>
      </c>
      <c r="BV98" s="79">
        <v>26</v>
      </c>
      <c r="BW98" s="118"/>
      <c r="BY98" s="156">
        <v>44243</v>
      </c>
      <c r="BZ98" s="79">
        <v>32</v>
      </c>
      <c r="CA98" s="118"/>
    </row>
    <row r="99" spans="1:79">
      <c r="A99" s="133">
        <v>44244</v>
      </c>
      <c r="C99" s="80"/>
      <c r="E99" s="118">
        <v>44243</v>
      </c>
      <c r="F99" s="79">
        <v>2</v>
      </c>
      <c r="G99" s="118"/>
      <c r="I99" s="80">
        <v>44242</v>
      </c>
      <c r="J99" s="120">
        <v>1</v>
      </c>
      <c r="K99" s="80"/>
      <c r="N99" s="117">
        <v>44241</v>
      </c>
      <c r="O99" s="37"/>
      <c r="P99" s="37"/>
      <c r="R99" s="120">
        <v>3</v>
      </c>
      <c r="S99" s="125"/>
      <c r="U99" s="156">
        <v>44244</v>
      </c>
      <c r="W99" s="80"/>
      <c r="Y99" s="119">
        <v>44244</v>
      </c>
      <c r="AA99" s="80"/>
      <c r="AC99" s="121" t="s">
        <v>85</v>
      </c>
      <c r="AD99" s="121">
        <f>COUNTA(AD77:AD98)</f>
        <v>10</v>
      </c>
      <c r="AE99" s="122">
        <f>IF(AD99&lt;=$U$45,1,AD99/$U$45)</f>
        <v>1</v>
      </c>
      <c r="AG99" s="118">
        <v>44243</v>
      </c>
      <c r="AH99" s="79">
        <v>6</v>
      </c>
      <c r="AI99" s="79"/>
      <c r="AK99" s="118">
        <v>44242</v>
      </c>
      <c r="AL99" s="79">
        <v>1</v>
      </c>
      <c r="AM99" s="149"/>
      <c r="AO99" s="156">
        <v>44244</v>
      </c>
      <c r="AQ99" s="118"/>
      <c r="AS99" s="156">
        <v>44244</v>
      </c>
      <c r="AU99" s="118"/>
      <c r="AW99" s="156">
        <v>44244</v>
      </c>
      <c r="AX99">
        <v>21</v>
      </c>
      <c r="AY99" s="118"/>
      <c r="BA99" s="156">
        <v>44244</v>
      </c>
      <c r="BB99" s="79">
        <v>27</v>
      </c>
      <c r="BC99" s="118"/>
      <c r="BE99" s="156">
        <v>44244</v>
      </c>
      <c r="BF99" s="79">
        <v>33</v>
      </c>
      <c r="BG99" s="118"/>
      <c r="BI99" s="156">
        <v>44244</v>
      </c>
      <c r="BK99" s="118"/>
      <c r="BM99" s="156">
        <v>44244</v>
      </c>
      <c r="BO99" s="118"/>
      <c r="BQ99" s="156">
        <v>44244</v>
      </c>
      <c r="BR99">
        <v>21</v>
      </c>
      <c r="BS99" s="118"/>
      <c r="BU99" s="156">
        <v>44244</v>
      </c>
      <c r="BV99" s="79">
        <v>27</v>
      </c>
      <c r="BW99" s="118"/>
      <c r="BY99" s="156">
        <v>44244</v>
      </c>
      <c r="BZ99" s="79">
        <v>33</v>
      </c>
      <c r="CA99" s="118"/>
    </row>
    <row r="100" spans="1:79">
      <c r="A100" s="133">
        <v>44245</v>
      </c>
      <c r="C100" s="80"/>
      <c r="E100" s="119">
        <v>44244</v>
      </c>
      <c r="G100" s="118"/>
      <c r="I100" s="80">
        <v>44243</v>
      </c>
      <c r="J100" s="120">
        <v>2</v>
      </c>
      <c r="K100" s="120"/>
      <c r="N100" s="118">
        <v>44242</v>
      </c>
      <c r="O100" s="79">
        <v>1</v>
      </c>
      <c r="P100" s="79">
        <v>1</v>
      </c>
      <c r="R100" s="120">
        <v>4</v>
      </c>
      <c r="S100" s="125"/>
      <c r="U100" s="156">
        <v>44245</v>
      </c>
      <c r="W100" s="80"/>
      <c r="Y100" s="119">
        <v>44245</v>
      </c>
      <c r="AA100" s="80"/>
      <c r="AC100" s="118">
        <v>44244</v>
      </c>
      <c r="AD100" s="79">
        <v>1</v>
      </c>
      <c r="AE100" s="79"/>
      <c r="AG100" s="118">
        <v>44244</v>
      </c>
      <c r="AH100" s="79">
        <v>7</v>
      </c>
      <c r="AI100" s="79"/>
      <c r="AK100" s="119">
        <v>44243</v>
      </c>
      <c r="AL100" s="79">
        <v>2</v>
      </c>
      <c r="AM100" s="149"/>
      <c r="AO100" s="156">
        <v>44245</v>
      </c>
      <c r="AQ100" s="118"/>
      <c r="AS100" s="156">
        <v>44245</v>
      </c>
      <c r="AU100" s="118"/>
      <c r="AW100" s="156">
        <v>44245</v>
      </c>
      <c r="AY100" s="118"/>
      <c r="BA100" s="156">
        <v>44245</v>
      </c>
      <c r="BB100" s="79">
        <v>28</v>
      </c>
      <c r="BC100" s="118"/>
      <c r="BE100" s="156">
        <v>44245</v>
      </c>
      <c r="BF100" s="79">
        <v>34</v>
      </c>
      <c r="BG100" s="118"/>
      <c r="BI100" s="156">
        <v>44245</v>
      </c>
      <c r="BK100" s="118"/>
      <c r="BM100" s="156">
        <v>44245</v>
      </c>
      <c r="BO100" s="118"/>
      <c r="BQ100" s="156">
        <v>44245</v>
      </c>
      <c r="BS100" s="118"/>
      <c r="BU100" s="156">
        <v>44245</v>
      </c>
      <c r="BV100" s="79">
        <v>28</v>
      </c>
      <c r="BW100" s="118"/>
      <c r="BY100" s="156">
        <v>44245</v>
      </c>
      <c r="BZ100" s="79">
        <v>34</v>
      </c>
      <c r="CA100" s="118"/>
    </row>
    <row r="101" spans="1:79">
      <c r="A101" s="133">
        <v>44246</v>
      </c>
      <c r="C101" s="80"/>
      <c r="E101" s="119">
        <v>44245</v>
      </c>
      <c r="G101" s="118"/>
      <c r="I101" s="80">
        <v>44244</v>
      </c>
      <c r="J101" s="120">
        <v>3</v>
      </c>
      <c r="K101" s="120"/>
      <c r="N101" s="118">
        <v>44243</v>
      </c>
      <c r="O101" s="79">
        <v>2</v>
      </c>
      <c r="P101" s="79">
        <v>2</v>
      </c>
      <c r="R101" s="120">
        <v>5</v>
      </c>
      <c r="S101" s="125"/>
      <c r="U101" s="156">
        <v>44246</v>
      </c>
      <c r="W101" s="80"/>
      <c r="Y101" s="119">
        <v>44246</v>
      </c>
      <c r="AA101" s="80"/>
      <c r="AC101" s="119">
        <v>44245</v>
      </c>
      <c r="AE101" s="79"/>
      <c r="AG101" s="118">
        <v>44245</v>
      </c>
      <c r="AH101" s="79">
        <v>8</v>
      </c>
      <c r="AI101" s="79"/>
      <c r="AK101" s="119">
        <v>44244</v>
      </c>
      <c r="AL101" s="79">
        <v>3</v>
      </c>
      <c r="AM101" s="149"/>
      <c r="AO101" s="156">
        <v>44246</v>
      </c>
      <c r="AQ101" s="118"/>
      <c r="AS101" s="156">
        <v>44246</v>
      </c>
      <c r="AU101" s="118"/>
      <c r="AW101" s="156">
        <v>44246</v>
      </c>
      <c r="AY101" s="118"/>
      <c r="BA101" s="156">
        <v>44246</v>
      </c>
      <c r="BC101" s="118"/>
      <c r="BE101" s="156">
        <v>44246</v>
      </c>
      <c r="BF101" s="79">
        <v>35</v>
      </c>
      <c r="BG101" s="118"/>
      <c r="BI101" s="156">
        <v>44246</v>
      </c>
      <c r="BK101" s="118"/>
      <c r="BM101" s="156">
        <v>44246</v>
      </c>
      <c r="BO101" s="118"/>
      <c r="BQ101" s="156">
        <v>44246</v>
      </c>
      <c r="BS101" s="118"/>
      <c r="BU101" s="156">
        <v>44246</v>
      </c>
      <c r="BW101" s="118"/>
      <c r="BY101" s="156">
        <v>44246</v>
      </c>
      <c r="BZ101" s="79">
        <v>35</v>
      </c>
      <c r="CA101" s="118"/>
    </row>
    <row r="102" spans="1:79">
      <c r="A102" s="129">
        <v>44247</v>
      </c>
      <c r="B102" s="37"/>
      <c r="C102" s="80"/>
      <c r="E102" s="119">
        <v>44246</v>
      </c>
      <c r="G102" s="118"/>
      <c r="I102" s="119">
        <v>44245</v>
      </c>
      <c r="K102" s="120"/>
      <c r="L102" s="37"/>
      <c r="M102" s="37"/>
      <c r="N102" s="118">
        <v>44244</v>
      </c>
      <c r="O102" s="79">
        <v>3</v>
      </c>
      <c r="P102" s="79">
        <v>3</v>
      </c>
      <c r="R102" s="37"/>
      <c r="S102" s="130"/>
      <c r="U102" s="152">
        <v>44247</v>
      </c>
      <c r="V102" s="37"/>
      <c r="W102" s="80"/>
      <c r="Y102" s="117">
        <v>44247</v>
      </c>
      <c r="Z102" s="37"/>
      <c r="AA102" s="80"/>
      <c r="AC102" s="119">
        <v>44246</v>
      </c>
      <c r="AE102" s="79"/>
      <c r="AG102" s="119">
        <v>44246</v>
      </c>
      <c r="AI102" s="79"/>
      <c r="AK102" s="119">
        <v>44245</v>
      </c>
      <c r="AL102" s="79">
        <v>4</v>
      </c>
      <c r="AM102" s="149"/>
      <c r="AO102" s="152">
        <v>44247</v>
      </c>
      <c r="AP102" s="37"/>
      <c r="AQ102" s="118"/>
      <c r="AS102" s="152">
        <v>44247</v>
      </c>
      <c r="AT102" s="37"/>
      <c r="AU102" s="118"/>
      <c r="AW102" s="152">
        <v>44247</v>
      </c>
      <c r="AX102" s="37"/>
      <c r="AY102" s="118"/>
      <c r="BA102" s="152">
        <v>44247</v>
      </c>
      <c r="BB102" s="37"/>
      <c r="BC102" s="118"/>
      <c r="BE102" s="152">
        <v>44247</v>
      </c>
      <c r="BF102" s="37"/>
      <c r="BG102" s="118"/>
      <c r="BI102" s="152">
        <v>44247</v>
      </c>
      <c r="BJ102" s="37"/>
      <c r="BK102" s="118"/>
      <c r="BM102" s="152">
        <v>44247</v>
      </c>
      <c r="BN102" s="37"/>
      <c r="BO102" s="118"/>
      <c r="BQ102" s="152">
        <v>44247</v>
      </c>
      <c r="BR102" s="37"/>
      <c r="BS102" s="118"/>
      <c r="BU102" s="152">
        <v>44247</v>
      </c>
      <c r="BV102" s="37"/>
      <c r="BW102" s="118"/>
      <c r="BY102" s="152">
        <v>44247</v>
      </c>
      <c r="BZ102" s="37"/>
      <c r="CA102" s="118"/>
    </row>
    <row r="103" spans="1:79">
      <c r="A103" s="129">
        <v>44248</v>
      </c>
      <c r="B103" s="37"/>
      <c r="C103" s="80"/>
      <c r="E103" s="117">
        <v>44247</v>
      </c>
      <c r="F103" s="117"/>
      <c r="G103" s="118"/>
      <c r="I103" s="119">
        <v>44246</v>
      </c>
      <c r="K103" s="120"/>
      <c r="L103" s="37"/>
      <c r="M103" s="37"/>
      <c r="N103" s="118">
        <v>44245</v>
      </c>
      <c r="O103" s="79">
        <v>4</v>
      </c>
      <c r="P103" s="79">
        <v>4</v>
      </c>
      <c r="R103" s="37"/>
      <c r="S103" s="130"/>
      <c r="U103" s="152">
        <v>44248</v>
      </c>
      <c r="V103" s="37"/>
      <c r="W103" s="80"/>
      <c r="Y103" s="117">
        <v>44248</v>
      </c>
      <c r="Z103" s="37"/>
      <c r="AA103" s="80"/>
      <c r="AC103" s="117">
        <v>44247</v>
      </c>
      <c r="AD103" s="37"/>
      <c r="AE103" s="79"/>
      <c r="AG103" s="117">
        <v>44247</v>
      </c>
      <c r="AH103" s="37"/>
      <c r="AI103" s="79"/>
      <c r="AK103" s="119">
        <v>44246</v>
      </c>
      <c r="AL103" s="79">
        <v>5</v>
      </c>
      <c r="AM103" s="149"/>
      <c r="AO103" s="152">
        <v>44248</v>
      </c>
      <c r="AP103" s="37"/>
      <c r="AQ103" s="118"/>
      <c r="AS103" s="152">
        <v>44248</v>
      </c>
      <c r="AT103" s="37"/>
      <c r="AU103" s="118"/>
      <c r="AW103" s="152">
        <v>44248</v>
      </c>
      <c r="AX103" s="37"/>
      <c r="AY103" s="118"/>
      <c r="BA103" s="152">
        <v>44248</v>
      </c>
      <c r="BB103" s="37"/>
      <c r="BC103" s="118"/>
      <c r="BE103" s="152">
        <v>44248</v>
      </c>
      <c r="BF103" s="37"/>
      <c r="BG103" s="118"/>
      <c r="BI103" s="152">
        <v>44248</v>
      </c>
      <c r="BJ103" s="37"/>
      <c r="BK103" s="118"/>
      <c r="BM103" s="152">
        <v>44248</v>
      </c>
      <c r="BN103" s="37"/>
      <c r="BO103" s="118"/>
      <c r="BQ103" s="152">
        <v>44248</v>
      </c>
      <c r="BR103" s="37"/>
      <c r="BS103" s="118"/>
      <c r="BU103" s="152">
        <v>44248</v>
      </c>
      <c r="BV103" s="37"/>
      <c r="BW103" s="118"/>
      <c r="BY103" s="152">
        <v>44248</v>
      </c>
      <c r="BZ103" s="37"/>
      <c r="CA103" s="118"/>
    </row>
    <row r="104" spans="1:79">
      <c r="A104" s="138">
        <v>44249</v>
      </c>
      <c r="B104" s="120">
        <v>3</v>
      </c>
      <c r="C104" s="80"/>
      <c r="E104" s="117">
        <v>44248</v>
      </c>
      <c r="F104" s="117"/>
      <c r="G104" s="118"/>
      <c r="I104" s="117">
        <v>44247</v>
      </c>
      <c r="J104" s="37"/>
      <c r="K104" s="120"/>
      <c r="N104" s="119">
        <v>44246</v>
      </c>
      <c r="O104" s="119"/>
      <c r="P104" s="119"/>
      <c r="R104" s="120">
        <v>6</v>
      </c>
      <c r="S104" s="125"/>
      <c r="U104" s="161">
        <v>44249</v>
      </c>
      <c r="V104" s="120">
        <v>3</v>
      </c>
      <c r="W104" s="80"/>
      <c r="Y104" s="80">
        <v>44249</v>
      </c>
      <c r="Z104" s="120">
        <v>5</v>
      </c>
      <c r="AA104" s="80"/>
      <c r="AC104" s="117">
        <v>44248</v>
      </c>
      <c r="AD104" s="37"/>
      <c r="AE104" s="79"/>
      <c r="AG104" s="117">
        <v>44248</v>
      </c>
      <c r="AH104" s="37"/>
      <c r="AI104" s="79"/>
      <c r="AK104" s="117">
        <v>44247</v>
      </c>
      <c r="AL104" s="37"/>
      <c r="AM104" s="149"/>
      <c r="AO104" s="154">
        <v>44249</v>
      </c>
      <c r="AP104" s="79">
        <v>8</v>
      </c>
      <c r="AQ104" s="118"/>
      <c r="AS104" s="154">
        <v>44249</v>
      </c>
      <c r="AT104" s="79">
        <v>15</v>
      </c>
      <c r="AU104" s="118"/>
      <c r="AW104" s="154">
        <v>44249</v>
      </c>
      <c r="AX104" s="79">
        <v>22</v>
      </c>
      <c r="AY104" s="118"/>
      <c r="BA104" s="154">
        <v>44249</v>
      </c>
      <c r="BB104" s="79">
        <v>29</v>
      </c>
      <c r="BC104" s="118"/>
      <c r="BE104" s="154">
        <v>44249</v>
      </c>
      <c r="BF104" s="79">
        <v>36</v>
      </c>
      <c r="BG104" s="118"/>
      <c r="BI104" s="154">
        <v>44249</v>
      </c>
      <c r="BJ104" s="79">
        <v>8</v>
      </c>
      <c r="BK104" s="118"/>
      <c r="BM104" s="154">
        <v>44249</v>
      </c>
      <c r="BN104" s="79">
        <v>15</v>
      </c>
      <c r="BO104" s="118"/>
      <c r="BQ104" s="154">
        <v>44249</v>
      </c>
      <c r="BR104" s="79">
        <v>22</v>
      </c>
      <c r="BS104" s="118"/>
      <c r="BU104" s="154">
        <v>44249</v>
      </c>
      <c r="BV104" s="79">
        <v>29</v>
      </c>
      <c r="BW104" s="118"/>
      <c r="BY104" s="154">
        <v>44249</v>
      </c>
      <c r="BZ104" s="79">
        <v>36</v>
      </c>
      <c r="CA104" s="118"/>
    </row>
    <row r="105" spans="1:79">
      <c r="A105" s="133">
        <v>44250</v>
      </c>
      <c r="C105" s="80"/>
      <c r="D105" s="119"/>
      <c r="E105" s="118">
        <v>44249</v>
      </c>
      <c r="F105" s="79">
        <v>3</v>
      </c>
      <c r="G105" s="118"/>
      <c r="H105" s="119"/>
      <c r="I105" s="117">
        <v>44248</v>
      </c>
      <c r="J105" s="37"/>
      <c r="K105" s="120"/>
      <c r="L105" s="119"/>
      <c r="M105" s="119"/>
      <c r="N105" s="117">
        <v>44247</v>
      </c>
      <c r="O105" s="37"/>
      <c r="P105" s="37"/>
      <c r="Q105" s="119"/>
      <c r="R105" s="79">
        <v>1</v>
      </c>
      <c r="S105" s="132"/>
      <c r="U105" s="156">
        <v>44250</v>
      </c>
      <c r="W105" s="80"/>
      <c r="X105" s="119"/>
      <c r="Y105" s="80">
        <v>44250</v>
      </c>
      <c r="Z105" s="120">
        <v>6</v>
      </c>
      <c r="AA105" s="80"/>
      <c r="AC105" s="118">
        <v>44249</v>
      </c>
      <c r="AD105" s="79">
        <v>2</v>
      </c>
      <c r="AE105" s="79"/>
      <c r="AG105" s="118">
        <v>44249</v>
      </c>
      <c r="AH105" s="79">
        <v>9</v>
      </c>
      <c r="AI105" s="79"/>
      <c r="AK105" s="117">
        <v>44248</v>
      </c>
      <c r="AL105" s="37"/>
      <c r="AM105" s="149"/>
      <c r="AO105" s="156">
        <v>44250</v>
      </c>
      <c r="AQ105" s="118"/>
      <c r="AS105" s="156">
        <v>44250</v>
      </c>
      <c r="AT105">
        <v>16</v>
      </c>
      <c r="AU105" s="118"/>
      <c r="AW105" s="156">
        <v>44250</v>
      </c>
      <c r="AX105">
        <v>23</v>
      </c>
      <c r="AY105" s="118"/>
      <c r="BA105" s="156">
        <v>44250</v>
      </c>
      <c r="BB105" s="79">
        <v>30</v>
      </c>
      <c r="BC105" s="118"/>
      <c r="BE105" s="156">
        <v>44250</v>
      </c>
      <c r="BF105" s="79">
        <v>37</v>
      </c>
      <c r="BG105" s="118"/>
      <c r="BI105" s="156">
        <v>44250</v>
      </c>
      <c r="BK105" s="118"/>
      <c r="BM105" s="156">
        <v>44250</v>
      </c>
      <c r="BN105">
        <v>16</v>
      </c>
      <c r="BO105" s="118"/>
      <c r="BQ105" s="156">
        <v>44250</v>
      </c>
      <c r="BR105">
        <v>23</v>
      </c>
      <c r="BS105" s="118"/>
      <c r="BU105" s="156">
        <v>44250</v>
      </c>
      <c r="BV105" s="79">
        <v>30</v>
      </c>
      <c r="BW105" s="118"/>
      <c r="BY105" s="156">
        <v>44250</v>
      </c>
      <c r="BZ105" s="79">
        <v>37</v>
      </c>
      <c r="CA105" s="118"/>
    </row>
    <row r="106" spans="1:79">
      <c r="A106" s="133">
        <v>44251</v>
      </c>
      <c r="C106" s="80"/>
      <c r="E106" s="118">
        <v>44250</v>
      </c>
      <c r="F106" s="79">
        <v>4</v>
      </c>
      <c r="G106" s="118"/>
      <c r="I106" s="80">
        <v>44249</v>
      </c>
      <c r="J106" s="120">
        <v>4</v>
      </c>
      <c r="K106" s="120"/>
      <c r="N106" s="117">
        <v>44248</v>
      </c>
      <c r="O106" s="37"/>
      <c r="P106" s="37"/>
      <c r="R106" s="79">
        <v>2</v>
      </c>
      <c r="S106" s="134"/>
      <c r="U106" s="156">
        <v>44251</v>
      </c>
      <c r="W106" s="80"/>
      <c r="Y106" s="119">
        <v>44251</v>
      </c>
      <c r="AA106" s="80"/>
      <c r="AC106" s="118">
        <v>44250</v>
      </c>
      <c r="AD106" s="79">
        <v>3</v>
      </c>
      <c r="AE106" s="79"/>
      <c r="AG106" s="118">
        <v>44250</v>
      </c>
      <c r="AH106" s="79">
        <v>10</v>
      </c>
      <c r="AI106" s="79"/>
      <c r="AK106" s="118">
        <v>44249</v>
      </c>
      <c r="AL106" s="79">
        <v>6</v>
      </c>
      <c r="AM106" s="149"/>
      <c r="AO106" s="156">
        <v>44251</v>
      </c>
      <c r="AQ106" s="118"/>
      <c r="AR106" s="119"/>
      <c r="AS106" s="156">
        <v>44251</v>
      </c>
      <c r="AU106" s="118"/>
      <c r="AW106" s="156">
        <v>44251</v>
      </c>
      <c r="AX106">
        <v>24</v>
      </c>
      <c r="AY106" s="118"/>
      <c r="BA106" s="156">
        <v>44251</v>
      </c>
      <c r="BB106" s="79">
        <v>31</v>
      </c>
      <c r="BC106" s="118"/>
      <c r="BE106" s="156">
        <v>44251</v>
      </c>
      <c r="BF106" s="79">
        <v>38</v>
      </c>
      <c r="BG106" s="118"/>
      <c r="BI106" s="156">
        <v>44251</v>
      </c>
      <c r="BK106" s="118"/>
      <c r="BL106" s="119"/>
      <c r="BM106" s="156">
        <v>44251</v>
      </c>
      <c r="BO106" s="118"/>
      <c r="BQ106" s="156">
        <v>44251</v>
      </c>
      <c r="BR106">
        <v>24</v>
      </c>
      <c r="BS106" s="118"/>
      <c r="BU106" s="156">
        <v>44251</v>
      </c>
      <c r="BV106" s="79">
        <v>31</v>
      </c>
      <c r="BW106" s="118"/>
      <c r="BY106" s="156">
        <v>44251</v>
      </c>
      <c r="BZ106" s="79">
        <v>38</v>
      </c>
      <c r="CA106" s="118"/>
    </row>
    <row r="107" spans="1:79">
      <c r="A107" s="133">
        <v>44252</v>
      </c>
      <c r="C107" s="80"/>
      <c r="E107" s="119">
        <v>44251</v>
      </c>
      <c r="G107" s="118"/>
      <c r="I107" s="80">
        <v>44250</v>
      </c>
      <c r="J107" s="120">
        <v>5</v>
      </c>
      <c r="K107" s="120"/>
      <c r="N107" s="118">
        <v>44249</v>
      </c>
      <c r="O107" s="79">
        <v>5</v>
      </c>
      <c r="P107" s="79">
        <v>1</v>
      </c>
      <c r="R107" s="79">
        <v>3</v>
      </c>
      <c r="S107" s="134"/>
      <c r="U107" s="156">
        <v>44252</v>
      </c>
      <c r="W107" s="80"/>
      <c r="Y107" s="119">
        <v>44252</v>
      </c>
      <c r="AA107" s="80"/>
      <c r="AC107" s="118">
        <v>44251</v>
      </c>
      <c r="AD107" s="79">
        <v>4</v>
      </c>
      <c r="AE107" s="79"/>
      <c r="AG107" s="121" t="s">
        <v>85</v>
      </c>
      <c r="AH107" s="121">
        <f>COUNTA(AH91:AH106)</f>
        <v>10</v>
      </c>
      <c r="AI107" s="122">
        <f>IF(AH107&lt;=$U$45,1,AH107/$U$45)</f>
        <v>1</v>
      </c>
      <c r="AK107" s="119">
        <v>44250</v>
      </c>
      <c r="AL107" s="79">
        <v>7</v>
      </c>
      <c r="AM107" s="149"/>
      <c r="AO107" s="156">
        <v>44252</v>
      </c>
      <c r="AQ107" s="118"/>
      <c r="AS107" s="156">
        <v>44252</v>
      </c>
      <c r="AU107" s="118"/>
      <c r="AW107" s="156">
        <v>44252</v>
      </c>
      <c r="AY107" s="118"/>
      <c r="BA107" s="156">
        <v>44252</v>
      </c>
      <c r="BB107" s="79">
        <v>32</v>
      </c>
      <c r="BC107" s="118"/>
      <c r="BE107" s="156">
        <v>44252</v>
      </c>
      <c r="BF107" s="79">
        <v>39</v>
      </c>
      <c r="BG107" s="118"/>
      <c r="BI107" s="156">
        <v>44252</v>
      </c>
      <c r="BK107" s="118"/>
      <c r="BM107" s="156">
        <v>44252</v>
      </c>
      <c r="BO107" s="118"/>
      <c r="BQ107" s="156">
        <v>44252</v>
      </c>
      <c r="BS107" s="118"/>
      <c r="BU107" s="156">
        <v>44252</v>
      </c>
      <c r="BV107" s="79">
        <v>32</v>
      </c>
      <c r="BW107" s="118"/>
      <c r="BY107" s="156">
        <v>44252</v>
      </c>
      <c r="BZ107" s="79">
        <v>39</v>
      </c>
      <c r="CA107" s="118"/>
    </row>
    <row r="108" spans="1:79">
      <c r="A108" s="133">
        <v>44253</v>
      </c>
      <c r="C108" s="80"/>
      <c r="E108" s="119">
        <v>44252</v>
      </c>
      <c r="G108" s="118"/>
      <c r="I108" s="80">
        <v>44251</v>
      </c>
      <c r="J108" s="120">
        <v>6</v>
      </c>
      <c r="K108" s="120"/>
      <c r="N108" s="118">
        <v>44250</v>
      </c>
      <c r="O108" s="79">
        <v>6</v>
      </c>
      <c r="P108" s="79">
        <v>2</v>
      </c>
      <c r="R108" s="79">
        <v>4</v>
      </c>
      <c r="S108" s="134"/>
      <c r="U108" s="156">
        <v>44253</v>
      </c>
      <c r="W108" s="80"/>
      <c r="Y108" s="119">
        <v>44253</v>
      </c>
      <c r="AA108" s="80"/>
      <c r="AC108" s="119">
        <v>44252</v>
      </c>
      <c r="AE108" s="79"/>
      <c r="AG108" s="80">
        <v>44251</v>
      </c>
      <c r="AH108" s="120">
        <v>1</v>
      </c>
      <c r="AI108" s="80"/>
      <c r="AK108" s="119">
        <v>44251</v>
      </c>
      <c r="AL108" s="120">
        <v>8</v>
      </c>
      <c r="AM108" s="162"/>
      <c r="AO108" s="156">
        <v>44253</v>
      </c>
      <c r="AQ108" s="118"/>
      <c r="AS108" s="156">
        <v>44253</v>
      </c>
      <c r="AU108" s="118"/>
      <c r="AW108" s="156">
        <v>44253</v>
      </c>
      <c r="AY108" s="118"/>
      <c r="BA108" s="156">
        <v>44253</v>
      </c>
      <c r="BC108" s="118"/>
      <c r="BE108" s="156">
        <v>44253</v>
      </c>
      <c r="BF108" s="79">
        <v>40</v>
      </c>
      <c r="BG108" s="118"/>
      <c r="BI108" s="156">
        <v>44253</v>
      </c>
      <c r="BK108" s="118"/>
      <c r="BM108" s="156">
        <v>44253</v>
      </c>
      <c r="BO108" s="118"/>
      <c r="BQ108" s="156">
        <v>44253</v>
      </c>
      <c r="BS108" s="118"/>
      <c r="BU108" s="156">
        <v>44253</v>
      </c>
      <c r="BW108" s="118"/>
      <c r="BY108" s="156">
        <v>44253</v>
      </c>
      <c r="BZ108" s="79">
        <v>40</v>
      </c>
      <c r="CA108" s="118"/>
    </row>
    <row r="109" spans="1:79">
      <c r="A109" s="129">
        <v>44254</v>
      </c>
      <c r="B109" s="37"/>
      <c r="C109" s="80"/>
      <c r="E109" s="119">
        <v>44253</v>
      </c>
      <c r="G109" s="118"/>
      <c r="I109" s="121" t="s">
        <v>85</v>
      </c>
      <c r="J109" s="121">
        <f>COUNTA(J99:J108)</f>
        <v>6</v>
      </c>
      <c r="K109" s="122">
        <f>IF(J109&lt;=$A$45,1,J109/$A$45)</f>
        <v>1</v>
      </c>
      <c r="L109" s="37"/>
      <c r="M109" s="37"/>
      <c r="N109" s="121" t="s">
        <v>85</v>
      </c>
      <c r="O109" s="121">
        <f>COUNTA(O100:O108)</f>
        <v>6</v>
      </c>
      <c r="P109" s="122">
        <f>IF(O109&lt;=$A$45,1,O109/$A$45)</f>
        <v>1</v>
      </c>
      <c r="R109" s="37"/>
      <c r="S109" s="130"/>
      <c r="U109" s="152">
        <v>44254</v>
      </c>
      <c r="V109" s="37"/>
      <c r="W109" s="80"/>
      <c r="Y109" s="117">
        <v>44254</v>
      </c>
      <c r="Z109" s="37"/>
      <c r="AA109" s="80"/>
      <c r="AC109" s="119">
        <v>44253</v>
      </c>
      <c r="AE109" s="79"/>
      <c r="AG109" s="80">
        <v>44252</v>
      </c>
      <c r="AH109" s="120">
        <v>2</v>
      </c>
      <c r="AI109" s="80"/>
      <c r="AK109" s="119">
        <v>44252</v>
      </c>
      <c r="AL109" s="120">
        <v>9</v>
      </c>
      <c r="AM109" s="162"/>
      <c r="AO109" s="152">
        <v>44254</v>
      </c>
      <c r="AP109" s="37"/>
      <c r="AQ109" s="118"/>
      <c r="AS109" s="152">
        <v>44254</v>
      </c>
      <c r="AT109" s="37"/>
      <c r="AU109" s="118"/>
      <c r="AW109" s="152">
        <v>44254</v>
      </c>
      <c r="AX109" s="37"/>
      <c r="AY109" s="118"/>
      <c r="BA109" s="152">
        <v>44254</v>
      </c>
      <c r="BB109" s="37"/>
      <c r="BC109" s="118"/>
      <c r="BE109" s="152">
        <v>44254</v>
      </c>
      <c r="BF109" s="37"/>
      <c r="BG109" s="118"/>
      <c r="BI109" s="152">
        <v>44254</v>
      </c>
      <c r="BJ109" s="37"/>
      <c r="BK109" s="118"/>
      <c r="BM109" s="152">
        <v>44254</v>
      </c>
      <c r="BN109" s="37"/>
      <c r="BO109" s="118"/>
      <c r="BQ109" s="152">
        <v>44254</v>
      </c>
      <c r="BR109" s="37"/>
      <c r="BS109" s="118"/>
      <c r="BU109" s="152">
        <v>44254</v>
      </c>
      <c r="BV109" s="37"/>
      <c r="BW109" s="118"/>
      <c r="BY109" s="152">
        <v>44254</v>
      </c>
      <c r="BZ109" s="37"/>
      <c r="CA109" s="118"/>
    </row>
    <row r="110" spans="1:79">
      <c r="A110" s="129">
        <v>44255</v>
      </c>
      <c r="B110" s="37"/>
      <c r="C110" s="80"/>
      <c r="E110" s="117">
        <v>44254</v>
      </c>
      <c r="F110" s="37"/>
      <c r="G110" s="118"/>
      <c r="I110" s="119">
        <v>44252</v>
      </c>
      <c r="L110" s="37"/>
      <c r="M110" s="37"/>
      <c r="N110" s="80">
        <v>44251</v>
      </c>
      <c r="O110" s="120">
        <v>1</v>
      </c>
      <c r="P110" s="120">
        <v>3</v>
      </c>
      <c r="R110" s="37"/>
      <c r="S110" s="130"/>
      <c r="U110" s="152">
        <v>44255</v>
      </c>
      <c r="V110" s="37"/>
      <c r="W110" s="80"/>
      <c r="Y110" s="117">
        <v>44255</v>
      </c>
      <c r="Z110" s="37"/>
      <c r="AA110" s="80"/>
      <c r="AC110" s="117">
        <v>44254</v>
      </c>
      <c r="AD110" s="37"/>
      <c r="AE110" s="79"/>
      <c r="AG110" s="119">
        <v>44253</v>
      </c>
      <c r="AI110" s="80"/>
      <c r="AK110" s="119">
        <v>44253</v>
      </c>
      <c r="AL110">
        <v>10</v>
      </c>
      <c r="AM110" s="162"/>
      <c r="AO110" s="152">
        <v>44255</v>
      </c>
      <c r="AP110" s="37"/>
      <c r="AQ110" s="118"/>
      <c r="AS110" s="152">
        <v>44255</v>
      </c>
      <c r="AT110" s="37"/>
      <c r="AU110" s="118"/>
      <c r="AW110" s="152">
        <v>44255</v>
      </c>
      <c r="AX110" s="37"/>
      <c r="AY110" s="118"/>
      <c r="BA110" s="152">
        <v>44255</v>
      </c>
      <c r="BB110" s="37"/>
      <c r="BC110" s="118"/>
      <c r="BE110" s="152">
        <v>44255</v>
      </c>
      <c r="BF110" s="37"/>
      <c r="BG110" s="118"/>
      <c r="BI110" s="152">
        <v>44255</v>
      </c>
      <c r="BJ110" s="37"/>
      <c r="BK110" s="118"/>
      <c r="BM110" s="152">
        <v>44255</v>
      </c>
      <c r="BN110" s="37"/>
      <c r="BO110" s="118"/>
      <c r="BQ110" s="152">
        <v>44255</v>
      </c>
      <c r="BR110" s="37"/>
      <c r="BS110" s="118"/>
      <c r="BU110" s="152">
        <v>44255</v>
      </c>
      <c r="BV110" s="37"/>
      <c r="BW110" s="118"/>
      <c r="BY110" s="152">
        <v>44255</v>
      </c>
      <c r="BZ110" s="37"/>
      <c r="CA110" s="118"/>
    </row>
    <row r="111" spans="1:79">
      <c r="A111" s="138">
        <v>44256</v>
      </c>
      <c r="B111" s="120">
        <v>4</v>
      </c>
      <c r="C111" s="80"/>
      <c r="E111" s="117">
        <v>44255</v>
      </c>
      <c r="F111" s="37"/>
      <c r="G111" s="118"/>
      <c r="I111" s="119">
        <v>44253</v>
      </c>
      <c r="L111" s="119"/>
      <c r="M111" s="119"/>
      <c r="N111" s="80">
        <v>44252</v>
      </c>
      <c r="O111" s="120">
        <v>2</v>
      </c>
      <c r="P111" s="120">
        <v>4</v>
      </c>
      <c r="R111" s="79">
        <v>5</v>
      </c>
      <c r="S111" s="134"/>
      <c r="U111" s="161">
        <v>44256</v>
      </c>
      <c r="V111" s="120">
        <v>4</v>
      </c>
      <c r="W111" s="80"/>
      <c r="Y111" s="80">
        <v>44256</v>
      </c>
      <c r="Z111" s="120">
        <v>7</v>
      </c>
      <c r="AA111" s="80"/>
      <c r="AC111" s="117">
        <v>44255</v>
      </c>
      <c r="AD111" s="37"/>
      <c r="AE111" s="79"/>
      <c r="AG111" s="117">
        <v>44254</v>
      </c>
      <c r="AH111" s="37"/>
      <c r="AI111" s="80"/>
      <c r="AK111" s="121" t="s">
        <v>85</v>
      </c>
      <c r="AL111" s="121">
        <f>COUNTA(AL99:AL110)</f>
        <v>10</v>
      </c>
      <c r="AM111" s="158">
        <f>IF(AL111&lt;=$U$45,1,AL111/$U$45)</f>
        <v>1</v>
      </c>
      <c r="AO111" s="154">
        <v>44256</v>
      </c>
      <c r="AP111" s="79">
        <v>9</v>
      </c>
      <c r="AQ111" s="118"/>
      <c r="AS111" s="154">
        <v>44256</v>
      </c>
      <c r="AT111" s="79">
        <v>17</v>
      </c>
      <c r="AU111" s="118"/>
      <c r="AW111" s="154">
        <v>44256</v>
      </c>
      <c r="AX111" s="79">
        <v>25</v>
      </c>
      <c r="AY111" s="118"/>
      <c r="BA111" s="154">
        <v>44256</v>
      </c>
      <c r="BB111" s="79">
        <v>33</v>
      </c>
      <c r="BC111" s="118"/>
      <c r="BE111" s="154">
        <v>44256</v>
      </c>
      <c r="BF111" s="79">
        <v>41</v>
      </c>
      <c r="BG111" s="118"/>
      <c r="BI111" s="154">
        <v>44256</v>
      </c>
      <c r="BJ111" s="79">
        <v>9</v>
      </c>
      <c r="BK111" s="118"/>
      <c r="BM111" s="154">
        <v>44256</v>
      </c>
      <c r="BN111" s="79">
        <v>17</v>
      </c>
      <c r="BO111" s="118"/>
      <c r="BQ111" s="154">
        <v>44256</v>
      </c>
      <c r="BR111" s="79">
        <v>25</v>
      </c>
      <c r="BS111" s="118"/>
      <c r="BU111" s="154">
        <v>44256</v>
      </c>
      <c r="BV111" s="79">
        <v>33</v>
      </c>
      <c r="BW111" s="118"/>
      <c r="BY111" s="154">
        <v>44256</v>
      </c>
      <c r="BZ111" s="79">
        <v>41</v>
      </c>
      <c r="CA111" s="118"/>
    </row>
    <row r="112" spans="1:79">
      <c r="A112" s="133">
        <v>44257</v>
      </c>
      <c r="C112" s="80"/>
      <c r="E112" s="118">
        <v>44256</v>
      </c>
      <c r="F112" s="79">
        <v>5</v>
      </c>
      <c r="G112" s="118"/>
      <c r="I112" s="117">
        <v>44254</v>
      </c>
      <c r="J112" s="37"/>
      <c r="K112" s="37"/>
      <c r="N112" s="119">
        <v>44253</v>
      </c>
      <c r="R112" s="79">
        <v>6</v>
      </c>
      <c r="S112" s="134"/>
      <c r="U112" s="156">
        <v>44257</v>
      </c>
      <c r="W112" s="80"/>
      <c r="Y112" s="80">
        <v>44257</v>
      </c>
      <c r="Z112" s="120">
        <v>8</v>
      </c>
      <c r="AA112" s="80"/>
      <c r="AC112" s="118">
        <v>44256</v>
      </c>
      <c r="AD112" s="79">
        <v>5</v>
      </c>
      <c r="AE112" s="79"/>
      <c r="AG112" s="117">
        <v>44255</v>
      </c>
      <c r="AH112" s="37"/>
      <c r="AI112" s="80"/>
      <c r="AK112" s="117">
        <v>44254</v>
      </c>
      <c r="AL112" s="37"/>
      <c r="AM112" s="162"/>
      <c r="AO112" s="156">
        <v>44257</v>
      </c>
      <c r="AQ112" s="118"/>
      <c r="AS112" s="156">
        <v>44257</v>
      </c>
      <c r="AT112">
        <v>18</v>
      </c>
      <c r="AU112" s="118"/>
      <c r="AW112" s="156">
        <v>44257</v>
      </c>
      <c r="AX112">
        <v>26</v>
      </c>
      <c r="AY112" s="118"/>
      <c r="BA112" s="156">
        <v>44257</v>
      </c>
      <c r="BB112" s="79">
        <v>34</v>
      </c>
      <c r="BC112" s="118"/>
      <c r="BE112" s="156">
        <v>44257</v>
      </c>
      <c r="BF112" s="79">
        <v>42</v>
      </c>
      <c r="BG112" s="118"/>
      <c r="BI112" s="156">
        <v>44257</v>
      </c>
      <c r="BK112" s="118"/>
      <c r="BM112" s="156">
        <v>44257</v>
      </c>
      <c r="BN112">
        <v>18</v>
      </c>
      <c r="BO112" s="118"/>
      <c r="BQ112" s="156">
        <v>44257</v>
      </c>
      <c r="BR112">
        <v>26</v>
      </c>
      <c r="BS112" s="118"/>
      <c r="BU112" s="156">
        <v>44257</v>
      </c>
      <c r="BV112" s="79">
        <v>34</v>
      </c>
      <c r="BW112" s="118"/>
      <c r="BY112" s="156">
        <v>44257</v>
      </c>
      <c r="BZ112" s="79">
        <v>42</v>
      </c>
      <c r="CA112" s="118"/>
    </row>
    <row r="113" spans="1:79">
      <c r="A113" s="133">
        <v>44258</v>
      </c>
      <c r="C113" s="80"/>
      <c r="D113" s="119"/>
      <c r="E113" s="118">
        <v>44257</v>
      </c>
      <c r="F113" s="79">
        <v>6</v>
      </c>
      <c r="G113" s="118"/>
      <c r="H113" s="119"/>
      <c r="I113" s="117">
        <v>44255</v>
      </c>
      <c r="J113" s="37"/>
      <c r="K113" s="37"/>
      <c r="L113" s="119"/>
      <c r="M113" s="119"/>
      <c r="N113" s="117">
        <v>44254</v>
      </c>
      <c r="O113" s="37"/>
      <c r="P113" s="37"/>
      <c r="Q113" s="119"/>
      <c r="R113" s="120">
        <v>1</v>
      </c>
      <c r="S113" s="135"/>
      <c r="U113" s="156">
        <v>44258</v>
      </c>
      <c r="W113" s="80"/>
      <c r="X113" s="119"/>
      <c r="Y113" s="80">
        <v>44258</v>
      </c>
      <c r="Z113" s="120">
        <v>9</v>
      </c>
      <c r="AA113" s="80"/>
      <c r="AC113" s="118">
        <v>44257</v>
      </c>
      <c r="AD113" s="79">
        <v>6</v>
      </c>
      <c r="AE113" s="79"/>
      <c r="AG113" s="80">
        <v>44256</v>
      </c>
      <c r="AH113" s="120">
        <v>3</v>
      </c>
      <c r="AI113" s="80"/>
      <c r="AK113" s="117">
        <v>44255</v>
      </c>
      <c r="AL113" s="37"/>
      <c r="AM113" s="162"/>
      <c r="AO113" s="156">
        <v>44258</v>
      </c>
      <c r="AQ113" s="118"/>
      <c r="AS113" s="156">
        <v>44258</v>
      </c>
      <c r="AU113" s="118"/>
      <c r="AW113" s="156">
        <v>44258</v>
      </c>
      <c r="AX113">
        <v>27</v>
      </c>
      <c r="AY113" s="118"/>
      <c r="BA113" s="156">
        <v>44258</v>
      </c>
      <c r="BB113" s="79">
        <v>35</v>
      </c>
      <c r="BC113" s="118"/>
      <c r="BE113" s="156">
        <v>44258</v>
      </c>
      <c r="BF113" s="79">
        <v>43</v>
      </c>
      <c r="BG113" s="118"/>
      <c r="BI113" s="156">
        <v>44258</v>
      </c>
      <c r="BK113" s="118"/>
      <c r="BM113" s="156">
        <v>44258</v>
      </c>
      <c r="BO113" s="118"/>
      <c r="BQ113" s="156">
        <v>44258</v>
      </c>
      <c r="BR113">
        <v>27</v>
      </c>
      <c r="BS113" s="118"/>
      <c r="BU113" s="156">
        <v>44258</v>
      </c>
      <c r="BV113" s="79">
        <v>35</v>
      </c>
      <c r="BW113" s="118"/>
      <c r="BY113" s="156">
        <v>44258</v>
      </c>
      <c r="BZ113" s="79">
        <v>43</v>
      </c>
      <c r="CA113" s="118"/>
    </row>
    <row r="114" spans="1:79">
      <c r="A114" s="133">
        <v>44259</v>
      </c>
      <c r="C114" s="80"/>
      <c r="D114" s="119"/>
      <c r="E114" s="121" t="s">
        <v>85</v>
      </c>
      <c r="F114" s="121">
        <f>COUNTA(F98:F113)</f>
        <v>6</v>
      </c>
      <c r="G114" s="122">
        <f>IF(F114&lt;=$A$45,1,F114/$A$45)</f>
        <v>1</v>
      </c>
      <c r="H114" s="119"/>
      <c r="I114" s="118">
        <v>44256</v>
      </c>
      <c r="J114" s="79">
        <v>1</v>
      </c>
      <c r="K114" s="118"/>
      <c r="L114" s="122"/>
      <c r="M114" s="122"/>
      <c r="N114" s="117">
        <v>44255</v>
      </c>
      <c r="O114" s="37"/>
      <c r="P114" s="37"/>
      <c r="Q114" s="119"/>
      <c r="R114" s="121">
        <f>COUNTA(R86:R113)</f>
        <v>18</v>
      </c>
      <c r="S114" s="137">
        <f>IF(R114&lt;=$A$45,1,R114/$A$45)</f>
        <v>3</v>
      </c>
      <c r="T114" s="80"/>
      <c r="U114" s="156">
        <v>44259</v>
      </c>
      <c r="W114" s="80"/>
      <c r="Y114" s="119">
        <v>44259</v>
      </c>
      <c r="AA114" s="80"/>
      <c r="AC114" s="118">
        <v>44258</v>
      </c>
      <c r="AD114" s="79">
        <v>7</v>
      </c>
      <c r="AE114" s="79"/>
      <c r="AG114" s="80">
        <v>44257</v>
      </c>
      <c r="AH114" s="120">
        <v>4</v>
      </c>
      <c r="AI114" s="80"/>
      <c r="AK114" s="118">
        <v>44256</v>
      </c>
      <c r="AL114" s="120">
        <v>1</v>
      </c>
      <c r="AM114" s="162"/>
      <c r="AO114" s="156">
        <v>44259</v>
      </c>
      <c r="AQ114" s="118"/>
      <c r="AR114" s="119"/>
      <c r="AS114" s="156">
        <v>44259</v>
      </c>
      <c r="AU114" s="118"/>
      <c r="AW114" s="156">
        <v>44259</v>
      </c>
      <c r="AY114" s="118"/>
      <c r="BA114" s="156">
        <v>44259</v>
      </c>
      <c r="BB114" s="79">
        <v>36</v>
      </c>
      <c r="BC114" s="118"/>
      <c r="BE114" s="156">
        <v>44259</v>
      </c>
      <c r="BF114" s="79">
        <v>44</v>
      </c>
      <c r="BG114" s="118"/>
      <c r="BI114" s="156">
        <v>44259</v>
      </c>
      <c r="BK114" s="118"/>
      <c r="BL114" s="119"/>
      <c r="BM114" s="156">
        <v>44259</v>
      </c>
      <c r="BO114" s="118"/>
      <c r="BQ114" s="156">
        <v>44259</v>
      </c>
      <c r="BS114" s="118"/>
      <c r="BU114" s="156">
        <v>44259</v>
      </c>
      <c r="BV114" s="79">
        <v>36</v>
      </c>
      <c r="BW114" s="118"/>
      <c r="BY114" s="156">
        <v>44259</v>
      </c>
      <c r="BZ114" s="79">
        <v>44</v>
      </c>
      <c r="CA114" s="118"/>
    </row>
    <row r="115" spans="1:79">
      <c r="A115" s="133">
        <v>44260</v>
      </c>
      <c r="C115" s="80"/>
      <c r="E115" s="119">
        <v>44258</v>
      </c>
      <c r="F115" s="119"/>
      <c r="G115" s="119"/>
      <c r="H115" s="37"/>
      <c r="I115" s="118">
        <v>44257</v>
      </c>
      <c r="J115" s="79">
        <v>2</v>
      </c>
      <c r="K115" s="79"/>
      <c r="N115" s="80">
        <v>44256</v>
      </c>
      <c r="O115" s="120">
        <v>3</v>
      </c>
      <c r="P115" s="120">
        <v>1</v>
      </c>
      <c r="Q115" s="120">
        <v>6</v>
      </c>
      <c r="S115" s="125"/>
      <c r="U115" s="156">
        <v>44260</v>
      </c>
      <c r="W115" s="80"/>
      <c r="Y115" s="119">
        <v>44260</v>
      </c>
      <c r="AA115" s="80"/>
      <c r="AC115" s="119">
        <v>44259</v>
      </c>
      <c r="AE115" s="79"/>
      <c r="AG115" s="80">
        <v>44258</v>
      </c>
      <c r="AH115" s="120">
        <v>5</v>
      </c>
      <c r="AI115" s="80"/>
      <c r="AK115" s="118">
        <v>44257</v>
      </c>
      <c r="AL115">
        <v>2</v>
      </c>
      <c r="AM115" s="148"/>
      <c r="AO115" s="156">
        <v>44260</v>
      </c>
      <c r="AQ115" s="118"/>
      <c r="AS115" s="156">
        <v>44260</v>
      </c>
      <c r="AU115" s="118"/>
      <c r="AW115" s="156">
        <v>44260</v>
      </c>
      <c r="AY115" s="118"/>
      <c r="BA115" s="156">
        <v>44260</v>
      </c>
      <c r="BC115" s="118"/>
      <c r="BE115" s="156">
        <v>44260</v>
      </c>
      <c r="BF115" s="79">
        <v>45</v>
      </c>
      <c r="BG115" s="118"/>
      <c r="BI115" s="156">
        <v>44260</v>
      </c>
      <c r="BK115" s="118"/>
      <c r="BM115" s="156">
        <v>44260</v>
      </c>
      <c r="BO115" s="118"/>
      <c r="BQ115" s="156">
        <v>44260</v>
      </c>
      <c r="BS115" s="118"/>
      <c r="BU115" s="156">
        <v>44260</v>
      </c>
      <c r="BW115" s="118"/>
      <c r="BY115" s="156">
        <v>44260</v>
      </c>
      <c r="BZ115" s="79">
        <v>45</v>
      </c>
      <c r="CA115" s="118"/>
    </row>
    <row r="116" spans="1:79">
      <c r="A116" s="129">
        <v>44261</v>
      </c>
      <c r="B116" s="37"/>
      <c r="C116" s="80"/>
      <c r="E116" s="119">
        <v>44259</v>
      </c>
      <c r="F116" s="119"/>
      <c r="G116" s="119"/>
      <c r="H116" s="120">
        <v>1</v>
      </c>
      <c r="I116" s="118">
        <v>44258</v>
      </c>
      <c r="J116" s="79">
        <v>3</v>
      </c>
      <c r="K116" s="79"/>
      <c r="N116" s="80">
        <v>44257</v>
      </c>
      <c r="O116" s="120">
        <v>4</v>
      </c>
      <c r="P116" s="120">
        <v>2</v>
      </c>
      <c r="S116" s="125"/>
      <c r="U116" s="152">
        <v>44261</v>
      </c>
      <c r="V116" s="37"/>
      <c r="W116" s="80"/>
      <c r="Y116" s="117">
        <v>44261</v>
      </c>
      <c r="Z116" s="37"/>
      <c r="AA116" s="80"/>
      <c r="AC116" s="119">
        <v>44260</v>
      </c>
      <c r="AE116" s="79"/>
      <c r="AG116" s="80">
        <v>44259</v>
      </c>
      <c r="AH116" s="120">
        <v>6</v>
      </c>
      <c r="AI116" s="80"/>
      <c r="AK116" s="119">
        <v>44258</v>
      </c>
      <c r="AL116" s="120">
        <v>3</v>
      </c>
      <c r="AM116" s="162"/>
      <c r="AO116" s="152">
        <v>44261</v>
      </c>
      <c r="AP116" s="37"/>
      <c r="AQ116" s="118"/>
      <c r="AS116" s="152">
        <v>44261</v>
      </c>
      <c r="AT116" s="37"/>
      <c r="AU116" s="118"/>
      <c r="AW116" s="152">
        <v>44261</v>
      </c>
      <c r="AX116" s="37"/>
      <c r="AY116" s="118"/>
      <c r="BA116" s="152">
        <v>44261</v>
      </c>
      <c r="BB116" s="37"/>
      <c r="BC116" s="118"/>
      <c r="BE116" s="152">
        <v>44261</v>
      </c>
      <c r="BF116" s="37"/>
      <c r="BG116" s="118"/>
      <c r="BI116" s="152">
        <v>44261</v>
      </c>
      <c r="BJ116" s="37"/>
      <c r="BK116" s="118"/>
      <c r="BM116" s="152">
        <v>44261</v>
      </c>
      <c r="BN116" s="37"/>
      <c r="BO116" s="118"/>
      <c r="BQ116" s="152">
        <v>44261</v>
      </c>
      <c r="BR116" s="37"/>
      <c r="BS116" s="118"/>
      <c r="BU116" s="152">
        <v>44261</v>
      </c>
      <c r="BV116" s="37"/>
      <c r="BW116" s="118"/>
      <c r="BY116" s="152">
        <v>44261</v>
      </c>
      <c r="BZ116" s="37"/>
      <c r="CA116" s="118"/>
    </row>
    <row r="117" spans="1:79">
      <c r="A117" s="129">
        <v>44262</v>
      </c>
      <c r="B117" s="37"/>
      <c r="C117" s="80"/>
      <c r="E117" s="119">
        <v>44260</v>
      </c>
      <c r="F117" s="119"/>
      <c r="G117" s="119"/>
      <c r="H117" s="120">
        <v>2</v>
      </c>
      <c r="I117" s="119">
        <v>44259</v>
      </c>
      <c r="K117" s="79"/>
      <c r="L117" s="37"/>
      <c r="M117" s="37"/>
      <c r="N117" s="80">
        <v>44258</v>
      </c>
      <c r="O117" s="120">
        <v>5</v>
      </c>
      <c r="P117" s="120">
        <v>3</v>
      </c>
      <c r="R117" s="37"/>
      <c r="S117" s="125"/>
      <c r="U117" s="152">
        <v>44262</v>
      </c>
      <c r="V117" s="37"/>
      <c r="W117" s="80"/>
      <c r="Y117" s="117">
        <v>44262</v>
      </c>
      <c r="Z117" s="37"/>
      <c r="AA117" s="80"/>
      <c r="AC117" s="117">
        <v>44261</v>
      </c>
      <c r="AE117" s="79"/>
      <c r="AG117" s="119">
        <v>44260</v>
      </c>
      <c r="AI117" s="80"/>
      <c r="AK117" s="119">
        <v>44259</v>
      </c>
      <c r="AL117" s="120">
        <v>4</v>
      </c>
      <c r="AM117" s="162"/>
      <c r="AO117" s="152">
        <v>44262</v>
      </c>
      <c r="AP117" s="37"/>
      <c r="AQ117" s="118"/>
      <c r="AS117" s="152">
        <v>44262</v>
      </c>
      <c r="AT117" s="37"/>
      <c r="AU117" s="118"/>
      <c r="AW117" s="152">
        <v>44262</v>
      </c>
      <c r="AX117" s="37"/>
      <c r="AY117" s="118"/>
      <c r="BA117" s="152">
        <v>44262</v>
      </c>
      <c r="BB117" s="37"/>
      <c r="BC117" s="118"/>
      <c r="BE117" s="152">
        <v>44262</v>
      </c>
      <c r="BF117" s="37"/>
      <c r="BG117" s="118"/>
      <c r="BI117" s="152">
        <v>44262</v>
      </c>
      <c r="BJ117" s="37"/>
      <c r="BK117" s="118"/>
      <c r="BM117" s="152">
        <v>44262</v>
      </c>
      <c r="BN117" s="37"/>
      <c r="BO117" s="118"/>
      <c r="BQ117" s="152">
        <v>44262</v>
      </c>
      <c r="BR117" s="37"/>
      <c r="BS117" s="118"/>
      <c r="BU117" s="152">
        <v>44262</v>
      </c>
      <c r="BV117" s="37"/>
      <c r="BW117" s="118"/>
      <c r="BY117" s="152">
        <v>44262</v>
      </c>
      <c r="BZ117" s="37"/>
      <c r="CA117" s="118"/>
    </row>
    <row r="118" spans="1:79">
      <c r="A118" s="136" t="s">
        <v>85</v>
      </c>
      <c r="B118" s="121">
        <f>COUNTA(B90:B117)</f>
        <v>4</v>
      </c>
      <c r="C118" s="122">
        <f>IF(B118&lt;=$A$45,1,B118/$A$45)</f>
        <v>1</v>
      </c>
      <c r="D118" s="72"/>
      <c r="E118" s="117">
        <v>44261</v>
      </c>
      <c r="F118" s="117"/>
      <c r="G118" s="117"/>
      <c r="I118" s="119">
        <v>44260</v>
      </c>
      <c r="K118" s="79"/>
      <c r="L118" s="37"/>
      <c r="M118" s="37"/>
      <c r="N118" s="80">
        <v>44259</v>
      </c>
      <c r="O118" s="120">
        <v>6</v>
      </c>
      <c r="P118" s="120">
        <v>4</v>
      </c>
      <c r="R118" s="37"/>
      <c r="S118" s="139"/>
      <c r="U118" s="160" t="s">
        <v>85</v>
      </c>
      <c r="V118" s="121">
        <f>COUNTA(V90:V117)</f>
        <v>4</v>
      </c>
      <c r="W118" s="122">
        <f>IF(V118&lt;=$U$45,1,V118/$U$45)</f>
        <v>1</v>
      </c>
      <c r="X118" s="72"/>
      <c r="Y118" s="121" t="s">
        <v>85</v>
      </c>
      <c r="Z118" s="121">
        <f>COUNTA(Z90:Z117)</f>
        <v>9</v>
      </c>
      <c r="AA118" s="122">
        <f>IF(X118&lt;=$U$45,1,X118/$U$45)</f>
        <v>1</v>
      </c>
      <c r="AC118" s="117">
        <v>44262</v>
      </c>
      <c r="AD118" s="37"/>
      <c r="AE118" s="79"/>
      <c r="AG118" s="117">
        <v>44261</v>
      </c>
      <c r="AH118" s="37"/>
      <c r="AI118" s="80"/>
      <c r="AK118" s="119">
        <v>44260</v>
      </c>
      <c r="AL118" s="120">
        <v>5</v>
      </c>
      <c r="AM118" s="162"/>
      <c r="AO118" s="154">
        <v>44263</v>
      </c>
      <c r="AP118" s="79">
        <v>10</v>
      </c>
      <c r="AQ118" s="118"/>
      <c r="AS118" s="154">
        <v>44263</v>
      </c>
      <c r="AT118" s="79">
        <v>19</v>
      </c>
      <c r="AU118" s="118"/>
      <c r="AW118" s="154">
        <v>44263</v>
      </c>
      <c r="AX118" s="79">
        <v>28</v>
      </c>
      <c r="AY118" s="118"/>
      <c r="BA118" s="154">
        <v>44263</v>
      </c>
      <c r="BB118" s="79">
        <v>37</v>
      </c>
      <c r="BC118" s="118"/>
      <c r="BE118" s="154">
        <v>44263</v>
      </c>
      <c r="BF118" s="79">
        <v>46</v>
      </c>
      <c r="BG118" s="118"/>
      <c r="BI118" s="154">
        <v>44263</v>
      </c>
      <c r="BJ118" s="79">
        <v>10</v>
      </c>
      <c r="BK118" s="118"/>
      <c r="BM118" s="154">
        <v>44263</v>
      </c>
      <c r="BN118" s="79">
        <v>19</v>
      </c>
      <c r="BO118" s="118"/>
      <c r="BQ118" s="154">
        <v>44263</v>
      </c>
      <c r="BR118" s="79">
        <v>28</v>
      </c>
      <c r="BS118" s="118"/>
      <c r="BU118" s="154">
        <v>44263</v>
      </c>
      <c r="BV118" s="79">
        <v>37</v>
      </c>
      <c r="BW118" s="118"/>
      <c r="BY118" s="154">
        <v>44263</v>
      </c>
      <c r="BZ118" s="79">
        <v>46</v>
      </c>
      <c r="CA118" s="118"/>
    </row>
    <row r="119" spans="1:79">
      <c r="A119" s="131">
        <v>44263</v>
      </c>
      <c r="B119" s="79">
        <v>1</v>
      </c>
      <c r="C119" s="118">
        <f>EDATE($A119,1)-1</f>
        <v>44293</v>
      </c>
      <c r="D119" s="119"/>
      <c r="E119" s="117">
        <v>44262</v>
      </c>
      <c r="F119" s="117"/>
      <c r="G119" s="117"/>
      <c r="I119" s="117">
        <v>44261</v>
      </c>
      <c r="J119" s="72"/>
      <c r="K119" s="79"/>
      <c r="L119" s="79">
        <v>4</v>
      </c>
      <c r="M119" s="79"/>
      <c r="N119" s="121" t="s">
        <v>85</v>
      </c>
      <c r="O119" s="121">
        <f>COUNTA(O110:O118)</f>
        <v>6</v>
      </c>
      <c r="P119" s="122">
        <f>IF(O119&lt;=$A$45,1,O119/$A$45)</f>
        <v>1</v>
      </c>
      <c r="R119" s="118">
        <f>EDATE($A119,1)-1</f>
        <v>44293</v>
      </c>
      <c r="S119" s="140"/>
      <c r="U119" s="154">
        <v>44263</v>
      </c>
      <c r="V119" s="79">
        <v>1</v>
      </c>
      <c r="W119" s="118">
        <f>EDATE($U119,1)-$W$49</f>
        <v>44293</v>
      </c>
      <c r="X119" s="119"/>
      <c r="Y119" s="118">
        <v>44263</v>
      </c>
      <c r="Z119" s="79">
        <v>1</v>
      </c>
      <c r="AA119" s="118">
        <f>EDATE(Y119,1)-1</f>
        <v>44293</v>
      </c>
      <c r="AC119" s="118">
        <v>44263</v>
      </c>
      <c r="AD119" s="79">
        <v>8</v>
      </c>
      <c r="AE119" s="79"/>
      <c r="AG119" s="117">
        <v>44262</v>
      </c>
      <c r="AH119" s="37"/>
      <c r="AI119" s="80"/>
      <c r="AK119" s="117">
        <v>44261</v>
      </c>
      <c r="AL119" s="37"/>
      <c r="AM119" s="162"/>
      <c r="AO119" s="156">
        <v>44264</v>
      </c>
      <c r="AQ119" s="118"/>
      <c r="AR119" s="72"/>
      <c r="AS119" s="156">
        <v>44264</v>
      </c>
      <c r="AT119">
        <v>20</v>
      </c>
      <c r="AU119" s="118"/>
      <c r="AW119" s="156">
        <v>44264</v>
      </c>
      <c r="AX119">
        <v>29</v>
      </c>
      <c r="AY119" s="118"/>
      <c r="BA119" s="156">
        <v>44264</v>
      </c>
      <c r="BB119" s="79">
        <v>38</v>
      </c>
      <c r="BC119" s="118"/>
      <c r="BE119" s="156">
        <v>44264</v>
      </c>
      <c r="BF119" s="79">
        <v>47</v>
      </c>
      <c r="BG119" s="118"/>
      <c r="BI119" s="156">
        <v>44264</v>
      </c>
      <c r="BK119" s="118"/>
      <c r="BL119" s="72"/>
      <c r="BM119" s="156">
        <v>44264</v>
      </c>
      <c r="BN119">
        <v>20</v>
      </c>
      <c r="BO119" s="118"/>
      <c r="BQ119" s="156">
        <v>44264</v>
      </c>
      <c r="BR119">
        <v>29</v>
      </c>
      <c r="BS119" s="118"/>
      <c r="BU119" s="156">
        <v>44264</v>
      </c>
      <c r="BV119" s="79">
        <v>38</v>
      </c>
      <c r="BW119" s="118"/>
      <c r="BY119" s="156">
        <v>44264</v>
      </c>
      <c r="BZ119" s="79">
        <v>47</v>
      </c>
      <c r="CA119" s="118"/>
    </row>
    <row r="120" spans="1:79">
      <c r="A120" s="133">
        <v>44264</v>
      </c>
      <c r="C120" s="118"/>
      <c r="E120" s="80">
        <v>44263</v>
      </c>
      <c r="F120" s="120">
        <v>1</v>
      </c>
      <c r="G120" s="80"/>
      <c r="I120" s="117">
        <v>44262</v>
      </c>
      <c r="J120" s="119"/>
      <c r="K120" s="79"/>
      <c r="N120" s="119">
        <v>44260</v>
      </c>
      <c r="R120" s="120">
        <v>5</v>
      </c>
      <c r="S120" s="125"/>
      <c r="U120" s="156">
        <v>44264</v>
      </c>
      <c r="W120" s="79"/>
      <c r="Y120" s="118">
        <v>44264</v>
      </c>
      <c r="Z120" s="79">
        <v>2</v>
      </c>
      <c r="AA120" s="79"/>
      <c r="AC120" s="118">
        <v>44264</v>
      </c>
      <c r="AD120" s="79">
        <v>9</v>
      </c>
      <c r="AE120" s="79"/>
      <c r="AG120" s="80">
        <v>44263</v>
      </c>
      <c r="AH120" s="120">
        <v>7</v>
      </c>
      <c r="AI120" s="80"/>
      <c r="AK120" s="117">
        <v>44262</v>
      </c>
      <c r="AL120" s="37"/>
      <c r="AM120" s="162"/>
      <c r="AO120" s="156">
        <v>44265</v>
      </c>
      <c r="AQ120" s="118"/>
      <c r="AR120" s="119"/>
      <c r="AS120" s="156">
        <v>44265</v>
      </c>
      <c r="AU120" s="118"/>
      <c r="AW120" s="156">
        <v>44265</v>
      </c>
      <c r="AX120">
        <v>30</v>
      </c>
      <c r="AY120" s="118"/>
      <c r="BA120" s="156">
        <v>44265</v>
      </c>
      <c r="BB120" s="79">
        <v>39</v>
      </c>
      <c r="BC120" s="118"/>
      <c r="BE120" s="156">
        <v>44265</v>
      </c>
      <c r="BF120" s="79">
        <v>48</v>
      </c>
      <c r="BG120" s="118"/>
      <c r="BI120" s="156">
        <v>44265</v>
      </c>
      <c r="BK120" s="118"/>
      <c r="BL120" s="119"/>
      <c r="BM120" s="156">
        <v>44265</v>
      </c>
      <c r="BO120" s="118"/>
      <c r="BQ120" s="156">
        <v>44265</v>
      </c>
      <c r="BR120">
        <v>30</v>
      </c>
      <c r="BS120" s="118"/>
      <c r="BU120" s="156">
        <v>44265</v>
      </c>
      <c r="BV120" s="79">
        <v>39</v>
      </c>
      <c r="BW120" s="118"/>
      <c r="BY120" s="156">
        <v>44265</v>
      </c>
      <c r="BZ120" s="79">
        <v>48</v>
      </c>
      <c r="CA120" s="118"/>
    </row>
    <row r="121" spans="1:79">
      <c r="A121" s="133">
        <v>44265</v>
      </c>
      <c r="C121" s="118"/>
      <c r="E121" s="80">
        <v>44264</v>
      </c>
      <c r="F121" s="120">
        <v>2</v>
      </c>
      <c r="G121" s="80"/>
      <c r="I121" s="118">
        <v>44263</v>
      </c>
      <c r="J121" s="79">
        <v>4</v>
      </c>
      <c r="K121" s="79"/>
      <c r="N121" s="117">
        <v>44261</v>
      </c>
      <c r="O121" s="37"/>
      <c r="P121" s="37"/>
      <c r="R121" s="120">
        <v>6</v>
      </c>
      <c r="S121" s="125"/>
      <c r="U121" s="156">
        <v>44265</v>
      </c>
      <c r="W121" s="79"/>
      <c r="Y121" s="119">
        <v>44265</v>
      </c>
      <c r="AA121" s="79"/>
      <c r="AC121" s="118">
        <v>44265</v>
      </c>
      <c r="AD121" s="79">
        <v>10</v>
      </c>
      <c r="AE121" s="79"/>
      <c r="AG121" s="80">
        <v>44264</v>
      </c>
      <c r="AH121" s="120">
        <v>8</v>
      </c>
      <c r="AI121" s="80"/>
      <c r="AK121" s="118">
        <v>44263</v>
      </c>
      <c r="AL121" s="120">
        <v>6</v>
      </c>
      <c r="AM121" s="162"/>
      <c r="AO121" s="156">
        <v>44266</v>
      </c>
      <c r="AQ121" s="118"/>
      <c r="AS121" s="156">
        <v>44266</v>
      </c>
      <c r="AU121" s="118"/>
      <c r="AW121" s="156">
        <v>44266</v>
      </c>
      <c r="AY121" s="118"/>
      <c r="BA121" s="156">
        <v>44266</v>
      </c>
      <c r="BB121" s="79">
        <v>40</v>
      </c>
      <c r="BC121" s="118"/>
      <c r="BE121" s="156">
        <v>44266</v>
      </c>
      <c r="BF121" s="79">
        <v>49</v>
      </c>
      <c r="BG121" s="118"/>
      <c r="BI121" s="156">
        <v>44266</v>
      </c>
      <c r="BK121" s="118"/>
      <c r="BM121" s="156">
        <v>44266</v>
      </c>
      <c r="BO121" s="118"/>
      <c r="BQ121" s="156">
        <v>44266</v>
      </c>
      <c r="BS121" s="118"/>
      <c r="BU121" s="156">
        <v>44266</v>
      </c>
      <c r="BV121" s="79">
        <v>40</v>
      </c>
      <c r="BW121" s="118"/>
      <c r="BY121" s="156">
        <v>44266</v>
      </c>
      <c r="BZ121" s="79">
        <v>49</v>
      </c>
      <c r="CA121" s="118"/>
    </row>
    <row r="122" spans="1:79">
      <c r="A122" s="133">
        <v>44266</v>
      </c>
      <c r="C122" s="118"/>
      <c r="D122" s="119"/>
      <c r="E122" s="119">
        <v>44265</v>
      </c>
      <c r="G122" s="80"/>
      <c r="H122" s="119"/>
      <c r="I122" s="118">
        <v>44264</v>
      </c>
      <c r="J122" s="79">
        <v>5</v>
      </c>
      <c r="K122" s="79"/>
      <c r="L122" s="119"/>
      <c r="M122" s="119"/>
      <c r="N122" s="117">
        <v>44262</v>
      </c>
      <c r="O122" s="37"/>
      <c r="P122" s="37"/>
      <c r="Q122" s="119"/>
      <c r="R122" s="79">
        <v>1</v>
      </c>
      <c r="S122" s="132"/>
      <c r="U122" s="156">
        <v>44266</v>
      </c>
      <c r="W122" s="118"/>
      <c r="X122" s="119"/>
      <c r="Y122" s="119">
        <v>44266</v>
      </c>
      <c r="AA122" s="79"/>
      <c r="AC122" s="121" t="s">
        <v>85</v>
      </c>
      <c r="AD122" s="121">
        <f>COUNTA(AD100:AD121)</f>
        <v>10</v>
      </c>
      <c r="AE122" s="122">
        <f>IF(AD122&lt;=$U$45,1,AD122/$U$45)</f>
        <v>1</v>
      </c>
      <c r="AG122" s="80">
        <v>44265</v>
      </c>
      <c r="AH122" s="120">
        <v>9</v>
      </c>
      <c r="AI122" s="80"/>
      <c r="AK122" s="119">
        <v>44264</v>
      </c>
      <c r="AL122" s="120">
        <v>7</v>
      </c>
      <c r="AM122" s="162"/>
      <c r="AO122" s="156">
        <v>44267</v>
      </c>
      <c r="AQ122" s="118"/>
      <c r="AS122" s="156">
        <v>44267</v>
      </c>
      <c r="AU122" s="118"/>
      <c r="AW122" s="156">
        <v>44267</v>
      </c>
      <c r="AY122" s="118"/>
      <c r="BA122" s="156">
        <v>44267</v>
      </c>
      <c r="BC122" s="118"/>
      <c r="BE122" s="156">
        <v>44267</v>
      </c>
      <c r="BF122" s="79">
        <v>50</v>
      </c>
      <c r="BG122" s="118"/>
      <c r="BI122" s="156">
        <v>44267</v>
      </c>
      <c r="BK122" s="118"/>
      <c r="BM122" s="156">
        <v>44267</v>
      </c>
      <c r="BO122" s="118"/>
      <c r="BQ122" s="156">
        <v>44267</v>
      </c>
      <c r="BS122" s="118"/>
      <c r="BU122" s="156">
        <v>44267</v>
      </c>
      <c r="BW122" s="118"/>
      <c r="BY122" s="156">
        <v>44267</v>
      </c>
      <c r="BZ122" s="79">
        <v>50</v>
      </c>
      <c r="CA122" s="118"/>
    </row>
    <row r="123" spans="1:79">
      <c r="A123" s="133">
        <v>44267</v>
      </c>
      <c r="C123" s="118"/>
      <c r="E123" s="119">
        <v>44266</v>
      </c>
      <c r="G123" s="80"/>
      <c r="I123" s="118">
        <v>44265</v>
      </c>
      <c r="J123" s="79">
        <v>6</v>
      </c>
      <c r="K123" s="79"/>
      <c r="N123" s="118">
        <v>44263</v>
      </c>
      <c r="O123" s="79">
        <v>1</v>
      </c>
      <c r="P123" s="79">
        <v>1</v>
      </c>
      <c r="R123" s="79">
        <v>2</v>
      </c>
      <c r="S123" s="134"/>
      <c r="U123" s="156">
        <v>44267</v>
      </c>
      <c r="W123" s="79"/>
      <c r="Y123" s="119">
        <v>44267</v>
      </c>
      <c r="AA123" s="79"/>
      <c r="AC123" s="119">
        <v>44266</v>
      </c>
      <c r="AG123" s="80">
        <v>44266</v>
      </c>
      <c r="AH123" s="120">
        <v>10</v>
      </c>
      <c r="AI123" s="80"/>
      <c r="AK123" s="119">
        <v>44265</v>
      </c>
      <c r="AL123" s="120">
        <v>8</v>
      </c>
      <c r="AM123" s="162"/>
      <c r="AO123" s="152">
        <v>44268</v>
      </c>
      <c r="AP123" s="37"/>
      <c r="AQ123" s="118"/>
      <c r="AR123" s="119"/>
      <c r="AS123" s="152">
        <v>44268</v>
      </c>
      <c r="AT123" s="37"/>
      <c r="AU123" s="118"/>
      <c r="AW123" s="152">
        <v>44268</v>
      </c>
      <c r="AX123" s="37"/>
      <c r="AY123" s="118"/>
      <c r="BA123" s="152">
        <v>44268</v>
      </c>
      <c r="BB123" s="37"/>
      <c r="BC123" s="118"/>
      <c r="BE123" s="152">
        <v>44268</v>
      </c>
      <c r="BF123" s="37"/>
      <c r="BG123" s="118"/>
      <c r="BI123" s="152">
        <v>44268</v>
      </c>
      <c r="BJ123" s="37"/>
      <c r="BK123" s="118"/>
      <c r="BL123" s="119"/>
      <c r="BM123" s="152">
        <v>44268</v>
      </c>
      <c r="BN123" s="37"/>
      <c r="BO123" s="118"/>
      <c r="BQ123" s="152">
        <v>44268</v>
      </c>
      <c r="BR123" s="37"/>
      <c r="BS123" s="118"/>
      <c r="BU123" s="152">
        <v>44268</v>
      </c>
      <c r="BV123" s="37"/>
      <c r="BW123" s="118"/>
      <c r="BY123" s="152">
        <v>44268</v>
      </c>
      <c r="BZ123" s="37"/>
      <c r="CA123" s="118"/>
    </row>
    <row r="124" spans="1:79">
      <c r="A124" s="129">
        <v>44268</v>
      </c>
      <c r="B124" s="37"/>
      <c r="C124" s="118"/>
      <c r="E124" s="119">
        <v>44267</v>
      </c>
      <c r="G124" s="80"/>
      <c r="I124" s="121" t="s">
        <v>85</v>
      </c>
      <c r="J124" s="121">
        <f>COUNTA(J114:J123)</f>
        <v>6</v>
      </c>
      <c r="K124" s="122">
        <f>IF(J124&lt;=$A$45,1,J124/$A$45)</f>
        <v>1</v>
      </c>
      <c r="L124" s="37"/>
      <c r="M124" s="37"/>
      <c r="N124" s="118">
        <v>44264</v>
      </c>
      <c r="O124" s="79">
        <v>2</v>
      </c>
      <c r="P124" s="79">
        <v>2</v>
      </c>
      <c r="R124" s="37"/>
      <c r="S124" s="130"/>
      <c r="U124" s="152">
        <v>44268</v>
      </c>
      <c r="V124" s="37"/>
      <c r="W124" s="79"/>
      <c r="Y124" s="117">
        <v>44268</v>
      </c>
      <c r="Z124" s="37"/>
      <c r="AA124" s="79"/>
      <c r="AC124" s="119">
        <v>44267</v>
      </c>
      <c r="AG124" s="121" t="s">
        <v>85</v>
      </c>
      <c r="AH124" s="121">
        <f>COUNTA(AH108:AH123)</f>
        <v>10</v>
      </c>
      <c r="AI124" s="122">
        <f>IF(AH124&lt;=$U$45,1,AH124/$U$45)</f>
        <v>1</v>
      </c>
      <c r="AK124" s="119">
        <v>44266</v>
      </c>
      <c r="AL124" s="120">
        <v>9</v>
      </c>
      <c r="AM124" s="162"/>
      <c r="AO124" s="152">
        <v>44269</v>
      </c>
      <c r="AP124" s="37"/>
      <c r="AQ124" s="118"/>
      <c r="AS124" s="152">
        <v>44269</v>
      </c>
      <c r="AT124" s="37"/>
      <c r="AU124" s="118"/>
      <c r="AW124" s="152">
        <v>44269</v>
      </c>
      <c r="AX124" s="37"/>
      <c r="AY124" s="118"/>
      <c r="BA124" s="152">
        <v>44269</v>
      </c>
      <c r="BB124" s="37"/>
      <c r="BC124" s="118"/>
      <c r="BE124" s="152">
        <v>44269</v>
      </c>
      <c r="BF124" s="37"/>
      <c r="BG124" s="118"/>
      <c r="BI124" s="152">
        <v>44269</v>
      </c>
      <c r="BJ124" s="37"/>
      <c r="BK124" s="118"/>
      <c r="BM124" s="152">
        <v>44269</v>
      </c>
      <c r="BN124" s="37"/>
      <c r="BO124" s="118"/>
      <c r="BQ124" s="152">
        <v>44269</v>
      </c>
      <c r="BR124" s="37"/>
      <c r="BS124" s="118"/>
      <c r="BU124" s="152">
        <v>44269</v>
      </c>
      <c r="BV124" s="37"/>
      <c r="BW124" s="118"/>
      <c r="BY124" s="152">
        <v>44269</v>
      </c>
      <c r="BZ124" s="37"/>
      <c r="CA124" s="118"/>
    </row>
    <row r="125" spans="1:79">
      <c r="A125" s="129">
        <v>44269</v>
      </c>
      <c r="B125" s="37"/>
      <c r="C125" s="118"/>
      <c r="E125" s="117">
        <v>44268</v>
      </c>
      <c r="F125" s="117"/>
      <c r="G125" s="80"/>
      <c r="I125" s="119">
        <v>44266</v>
      </c>
      <c r="L125" s="37"/>
      <c r="M125" s="37"/>
      <c r="N125" s="118">
        <v>44265</v>
      </c>
      <c r="O125" s="79">
        <v>3</v>
      </c>
      <c r="P125" s="79">
        <v>3</v>
      </c>
      <c r="R125" s="37"/>
      <c r="S125" s="130"/>
      <c r="U125" s="152">
        <v>44269</v>
      </c>
      <c r="V125" s="37"/>
      <c r="W125" s="79"/>
      <c r="Y125" s="117">
        <v>44269</v>
      </c>
      <c r="Z125" s="37"/>
      <c r="AA125" s="79"/>
      <c r="AC125" s="117">
        <v>44268</v>
      </c>
      <c r="AD125" s="37"/>
      <c r="AE125" s="37"/>
      <c r="AG125" s="119">
        <v>44267</v>
      </c>
      <c r="AK125" s="119">
        <v>44267</v>
      </c>
      <c r="AL125" s="120">
        <v>10</v>
      </c>
      <c r="AM125" s="148"/>
      <c r="AO125" s="154">
        <v>44270</v>
      </c>
      <c r="AP125" s="79">
        <v>11</v>
      </c>
      <c r="AQ125" s="118"/>
      <c r="AS125" s="154">
        <v>44270</v>
      </c>
      <c r="AT125" s="79">
        <v>21</v>
      </c>
      <c r="AU125" s="118"/>
      <c r="AW125" s="154">
        <v>44270</v>
      </c>
      <c r="AX125" s="79">
        <v>31</v>
      </c>
      <c r="AY125" s="118"/>
      <c r="BA125" s="154">
        <v>44270</v>
      </c>
      <c r="BB125" s="79">
        <v>41</v>
      </c>
      <c r="BC125" s="118"/>
      <c r="BE125" s="154">
        <v>44270</v>
      </c>
      <c r="BF125" s="79">
        <v>51</v>
      </c>
      <c r="BG125" s="118"/>
      <c r="BI125" s="154">
        <v>44270</v>
      </c>
      <c r="BJ125" s="79">
        <v>11</v>
      </c>
      <c r="BK125" s="118"/>
      <c r="BM125" s="154">
        <v>44270</v>
      </c>
      <c r="BN125" s="79">
        <v>21</v>
      </c>
      <c r="BO125" s="118"/>
      <c r="BQ125" s="154">
        <v>44270</v>
      </c>
      <c r="BR125" s="79">
        <v>31</v>
      </c>
      <c r="BS125" s="118"/>
      <c r="BU125" s="154">
        <v>44270</v>
      </c>
      <c r="BV125" s="79">
        <v>41</v>
      </c>
      <c r="BW125" s="118"/>
      <c r="BY125" s="154">
        <v>44270</v>
      </c>
      <c r="BZ125" s="79">
        <v>51</v>
      </c>
      <c r="CA125" s="118"/>
    </row>
    <row r="126" spans="1:79">
      <c r="A126" s="131">
        <v>44270</v>
      </c>
      <c r="B126" s="79">
        <v>2</v>
      </c>
      <c r="C126" s="118"/>
      <c r="E126" s="117">
        <v>44269</v>
      </c>
      <c r="F126" s="117"/>
      <c r="G126" s="80"/>
      <c r="I126" s="119">
        <v>44267</v>
      </c>
      <c r="L126" s="119"/>
      <c r="M126" s="119"/>
      <c r="N126" s="118">
        <v>44266</v>
      </c>
      <c r="O126" s="79">
        <v>4</v>
      </c>
      <c r="P126" s="79">
        <v>4</v>
      </c>
      <c r="R126" s="79">
        <v>3</v>
      </c>
      <c r="S126" s="134"/>
      <c r="U126" s="154">
        <v>44270</v>
      </c>
      <c r="V126" s="79">
        <v>2</v>
      </c>
      <c r="W126" s="79"/>
      <c r="Y126" s="118">
        <v>44270</v>
      </c>
      <c r="Z126" s="79">
        <v>3</v>
      </c>
      <c r="AA126" s="79"/>
      <c r="AC126" s="117">
        <v>44269</v>
      </c>
      <c r="AD126" s="37"/>
      <c r="AE126" s="37"/>
      <c r="AG126" s="117">
        <v>44268</v>
      </c>
      <c r="AH126" s="37"/>
      <c r="AI126" s="37"/>
      <c r="AK126" s="121" t="s">
        <v>85</v>
      </c>
      <c r="AL126" s="121">
        <f>COUNTA(AL114:AL125)</f>
        <v>10</v>
      </c>
      <c r="AM126" s="158">
        <f>IF(AL126&lt;=$U$45,1,AL126/$U$45)</f>
        <v>1</v>
      </c>
      <c r="AO126" s="156">
        <v>44271</v>
      </c>
      <c r="AQ126" s="118"/>
      <c r="AS126" s="156">
        <v>44271</v>
      </c>
      <c r="AT126">
        <v>22</v>
      </c>
      <c r="AU126" s="118"/>
      <c r="AW126" s="156">
        <v>44271</v>
      </c>
      <c r="AX126">
        <v>32</v>
      </c>
      <c r="AY126" s="118"/>
      <c r="BA126" s="156">
        <v>44271</v>
      </c>
      <c r="BB126" s="79">
        <v>42</v>
      </c>
      <c r="BC126" s="118"/>
      <c r="BE126" s="156">
        <v>44271</v>
      </c>
      <c r="BF126" s="79">
        <v>52</v>
      </c>
      <c r="BG126" s="118"/>
      <c r="BI126" s="156">
        <v>44271</v>
      </c>
      <c r="BK126" s="118"/>
      <c r="BM126" s="156">
        <v>44271</v>
      </c>
      <c r="BN126">
        <v>22</v>
      </c>
      <c r="BO126" s="118"/>
      <c r="BQ126" s="156">
        <v>44271</v>
      </c>
      <c r="BR126">
        <v>32</v>
      </c>
      <c r="BS126" s="118"/>
      <c r="BU126" s="156">
        <v>44271</v>
      </c>
      <c r="BV126" s="79">
        <v>42</v>
      </c>
      <c r="BW126" s="118"/>
      <c r="BY126" s="156">
        <v>44271</v>
      </c>
      <c r="BZ126" s="79">
        <v>52</v>
      </c>
      <c r="CA126" s="118"/>
    </row>
    <row r="127" spans="1:79">
      <c r="A127" s="133">
        <v>44271</v>
      </c>
      <c r="C127" s="118"/>
      <c r="D127" s="119"/>
      <c r="E127" s="80">
        <v>44270</v>
      </c>
      <c r="F127" s="120">
        <v>3</v>
      </c>
      <c r="G127" s="80"/>
      <c r="H127" s="119"/>
      <c r="I127" s="117">
        <v>44268</v>
      </c>
      <c r="J127" s="37"/>
      <c r="K127" s="37"/>
      <c r="N127" s="119">
        <v>44267</v>
      </c>
      <c r="Q127" s="119"/>
      <c r="R127" s="79">
        <v>4</v>
      </c>
      <c r="S127" s="134"/>
      <c r="U127" s="156">
        <v>44271</v>
      </c>
      <c r="W127" s="79"/>
      <c r="Y127" s="118">
        <v>44271</v>
      </c>
      <c r="Z127" s="79">
        <v>4</v>
      </c>
      <c r="AA127" s="79"/>
      <c r="AC127" s="80">
        <v>44270</v>
      </c>
      <c r="AD127" s="120">
        <v>1</v>
      </c>
      <c r="AE127" s="80"/>
      <c r="AG127" s="117">
        <v>44269</v>
      </c>
      <c r="AH127" s="37"/>
      <c r="AI127" s="37"/>
      <c r="AK127" s="117">
        <v>44268</v>
      </c>
      <c r="AL127" s="37"/>
      <c r="AM127" s="148"/>
      <c r="AO127" s="156">
        <v>44272</v>
      </c>
      <c r="AQ127" s="118"/>
      <c r="AS127" s="156">
        <v>44272</v>
      </c>
      <c r="AU127" s="118"/>
      <c r="AW127" s="156">
        <v>44272</v>
      </c>
      <c r="AX127">
        <v>33</v>
      </c>
      <c r="AY127" s="118"/>
      <c r="BA127" s="156">
        <v>44272</v>
      </c>
      <c r="BB127" s="79">
        <v>43</v>
      </c>
      <c r="BC127" s="118"/>
      <c r="BE127" s="156">
        <v>44272</v>
      </c>
      <c r="BF127" s="79">
        <v>53</v>
      </c>
      <c r="BG127" s="118"/>
      <c r="BI127" s="156">
        <v>44272</v>
      </c>
      <c r="BK127" s="118"/>
      <c r="BM127" s="156">
        <v>44272</v>
      </c>
      <c r="BO127" s="118"/>
      <c r="BQ127" s="156">
        <v>44272</v>
      </c>
      <c r="BR127">
        <v>33</v>
      </c>
      <c r="BS127" s="118"/>
      <c r="BU127" s="156">
        <v>44272</v>
      </c>
      <c r="BV127" s="79">
        <v>43</v>
      </c>
      <c r="BW127" s="118"/>
      <c r="BY127" s="156">
        <v>44272</v>
      </c>
      <c r="BZ127" s="79">
        <v>53</v>
      </c>
      <c r="CA127" s="118"/>
    </row>
    <row r="128" spans="1:79">
      <c r="A128" s="133">
        <v>44272</v>
      </c>
      <c r="C128" s="118"/>
      <c r="E128" s="80">
        <v>44271</v>
      </c>
      <c r="F128" s="120">
        <v>4</v>
      </c>
      <c r="G128" s="80"/>
      <c r="I128" s="117">
        <v>44269</v>
      </c>
      <c r="J128" s="37"/>
      <c r="K128" s="37"/>
      <c r="N128" s="117">
        <v>44268</v>
      </c>
      <c r="O128" s="37"/>
      <c r="P128" s="37"/>
      <c r="R128" s="79">
        <v>5</v>
      </c>
      <c r="S128" s="134"/>
      <c r="U128" s="156">
        <v>44272</v>
      </c>
      <c r="W128" s="79"/>
      <c r="Y128" s="119">
        <v>44272</v>
      </c>
      <c r="Z128" s="119"/>
      <c r="AA128" s="79"/>
      <c r="AC128" s="80">
        <v>44271</v>
      </c>
      <c r="AD128" s="120">
        <v>2</v>
      </c>
      <c r="AE128" s="80"/>
      <c r="AG128" s="118">
        <v>44270</v>
      </c>
      <c r="AH128" s="79">
        <v>1</v>
      </c>
      <c r="AI128" s="79"/>
      <c r="AK128" s="117">
        <v>44269</v>
      </c>
      <c r="AL128" s="37"/>
      <c r="AM128" s="148"/>
      <c r="AO128" s="156">
        <v>44273</v>
      </c>
      <c r="AQ128" s="118"/>
      <c r="AS128" s="156">
        <v>44273</v>
      </c>
      <c r="AU128" s="118"/>
      <c r="AW128" s="156">
        <v>44273</v>
      </c>
      <c r="AY128" s="118"/>
      <c r="BA128" s="156">
        <v>44273</v>
      </c>
      <c r="BB128" s="79">
        <v>44</v>
      </c>
      <c r="BC128" s="118"/>
      <c r="BE128" s="156">
        <v>44273</v>
      </c>
      <c r="BF128" s="79">
        <v>54</v>
      </c>
      <c r="BG128" s="118"/>
      <c r="BI128" s="156">
        <v>44273</v>
      </c>
      <c r="BK128" s="118"/>
      <c r="BM128" s="156">
        <v>44273</v>
      </c>
      <c r="BO128" s="118"/>
      <c r="BQ128" s="156">
        <v>44273</v>
      </c>
      <c r="BS128" s="118"/>
      <c r="BU128" s="156">
        <v>44273</v>
      </c>
      <c r="BV128" s="79">
        <v>44</v>
      </c>
      <c r="BW128" s="118"/>
      <c r="BY128" s="156">
        <v>44273</v>
      </c>
      <c r="BZ128" s="79">
        <v>54</v>
      </c>
      <c r="CA128" s="118"/>
    </row>
    <row r="129" spans="1:79">
      <c r="A129" s="133">
        <v>44273</v>
      </c>
      <c r="C129" s="118"/>
      <c r="E129" s="119">
        <v>44272</v>
      </c>
      <c r="G129" s="80"/>
      <c r="I129" s="80">
        <v>44270</v>
      </c>
      <c r="J129" s="120">
        <v>1</v>
      </c>
      <c r="K129" s="80"/>
      <c r="N129" s="117">
        <v>44269</v>
      </c>
      <c r="O129" s="37"/>
      <c r="P129" s="37"/>
      <c r="R129" s="79">
        <v>6</v>
      </c>
      <c r="S129" s="134"/>
      <c r="U129" s="156">
        <v>44273</v>
      </c>
      <c r="W129" s="79"/>
      <c r="Y129" s="119">
        <v>44273</v>
      </c>
      <c r="AA129" s="79"/>
      <c r="AC129" s="80">
        <v>44272</v>
      </c>
      <c r="AD129" s="120">
        <v>3</v>
      </c>
      <c r="AE129" s="80"/>
      <c r="AG129" s="119">
        <v>44271</v>
      </c>
      <c r="AH129" s="79">
        <v>2</v>
      </c>
      <c r="AI129" s="79"/>
      <c r="AK129" s="118">
        <v>44270</v>
      </c>
      <c r="AL129" s="79">
        <v>1</v>
      </c>
      <c r="AM129" s="149"/>
      <c r="AO129" s="156">
        <v>44274</v>
      </c>
      <c r="AQ129" s="118"/>
      <c r="AS129" s="156">
        <v>44274</v>
      </c>
      <c r="AU129" s="118"/>
      <c r="AW129" s="156">
        <v>44274</v>
      </c>
      <c r="AY129" s="118"/>
      <c r="BA129" s="156">
        <v>44274</v>
      </c>
      <c r="BC129" s="118"/>
      <c r="BE129" s="156">
        <v>44274</v>
      </c>
      <c r="BF129" s="79">
        <v>55</v>
      </c>
      <c r="BG129" s="118"/>
      <c r="BI129" s="156">
        <v>44274</v>
      </c>
      <c r="BK129" s="118"/>
      <c r="BM129" s="156">
        <v>44274</v>
      </c>
      <c r="BO129" s="118"/>
      <c r="BQ129" s="156">
        <v>44274</v>
      </c>
      <c r="BS129" s="118"/>
      <c r="BU129" s="156">
        <v>44274</v>
      </c>
      <c r="BW129" s="118"/>
      <c r="BY129" s="156">
        <v>44274</v>
      </c>
      <c r="BZ129" s="79">
        <v>55</v>
      </c>
      <c r="CA129" s="118"/>
    </row>
    <row r="130" spans="1:79">
      <c r="A130" s="133">
        <v>44274</v>
      </c>
      <c r="C130" s="118"/>
      <c r="D130" s="119"/>
      <c r="E130" s="119">
        <v>44273</v>
      </c>
      <c r="G130" s="80"/>
      <c r="H130" s="119"/>
      <c r="I130" s="80">
        <v>44271</v>
      </c>
      <c r="J130" s="120">
        <v>2</v>
      </c>
      <c r="K130" s="80"/>
      <c r="L130" s="119"/>
      <c r="M130" s="119"/>
      <c r="N130" s="118">
        <v>44270</v>
      </c>
      <c r="O130" s="79">
        <v>5</v>
      </c>
      <c r="P130" s="79">
        <v>1</v>
      </c>
      <c r="Q130" s="119"/>
      <c r="R130" s="120">
        <v>1</v>
      </c>
      <c r="S130" s="135"/>
      <c r="U130" s="156">
        <v>44274</v>
      </c>
      <c r="W130" s="118"/>
      <c r="X130" s="119"/>
      <c r="Y130" s="119">
        <v>44274</v>
      </c>
      <c r="AA130" s="79"/>
      <c r="AC130" s="119">
        <v>44273</v>
      </c>
      <c r="AE130" s="80"/>
      <c r="AG130" s="119">
        <v>44272</v>
      </c>
      <c r="AH130" s="79">
        <v>3</v>
      </c>
      <c r="AI130" s="79"/>
      <c r="AK130" s="119">
        <v>44271</v>
      </c>
      <c r="AL130" s="79">
        <v>2</v>
      </c>
      <c r="AM130" s="149"/>
      <c r="AO130" s="152">
        <v>44275</v>
      </c>
      <c r="AP130" s="37"/>
      <c r="AQ130" s="118"/>
      <c r="AS130" s="152">
        <v>44275</v>
      </c>
      <c r="AT130" s="37"/>
      <c r="AU130" s="118"/>
      <c r="AW130" s="152">
        <v>44275</v>
      </c>
      <c r="AX130" s="37"/>
      <c r="AY130" s="118"/>
      <c r="BA130" s="152">
        <v>44275</v>
      </c>
      <c r="BB130" s="37"/>
      <c r="BC130" s="118"/>
      <c r="BE130" s="152">
        <v>44275</v>
      </c>
      <c r="BF130" s="37"/>
      <c r="BG130" s="118"/>
      <c r="BI130" s="152">
        <v>44275</v>
      </c>
      <c r="BJ130" s="37"/>
      <c r="BK130" s="118"/>
      <c r="BM130" s="152">
        <v>44275</v>
      </c>
      <c r="BN130" s="37"/>
      <c r="BO130" s="118"/>
      <c r="BQ130" s="152">
        <v>44275</v>
      </c>
      <c r="BR130" s="37"/>
      <c r="BS130" s="118"/>
      <c r="BU130" s="152">
        <v>44275</v>
      </c>
      <c r="BV130" s="37"/>
      <c r="BW130" s="118"/>
      <c r="BY130" s="152">
        <v>44275</v>
      </c>
      <c r="BZ130" s="37"/>
      <c r="CA130" s="118"/>
    </row>
    <row r="131" spans="1:79">
      <c r="A131" s="129">
        <v>44275</v>
      </c>
      <c r="B131" s="37"/>
      <c r="C131" s="118"/>
      <c r="E131" s="119">
        <v>44274</v>
      </c>
      <c r="G131" s="80"/>
      <c r="I131" s="80">
        <v>44272</v>
      </c>
      <c r="J131" s="120">
        <v>3</v>
      </c>
      <c r="K131" s="80"/>
      <c r="L131" s="37"/>
      <c r="M131" s="37"/>
      <c r="N131" s="118">
        <v>44271</v>
      </c>
      <c r="O131" s="79">
        <v>6</v>
      </c>
      <c r="P131" s="79">
        <v>2</v>
      </c>
      <c r="R131" s="37"/>
      <c r="S131" s="130"/>
      <c r="U131" s="152">
        <v>44275</v>
      </c>
      <c r="V131" s="37"/>
      <c r="W131" s="79"/>
      <c r="Y131" s="117">
        <v>44275</v>
      </c>
      <c r="Z131" s="37"/>
      <c r="AA131" s="79"/>
      <c r="AC131" s="119">
        <v>44274</v>
      </c>
      <c r="AE131" s="80"/>
      <c r="AG131" s="119">
        <v>44273</v>
      </c>
      <c r="AH131" s="79">
        <v>4</v>
      </c>
      <c r="AI131" s="79"/>
      <c r="AK131" s="119">
        <v>44272</v>
      </c>
      <c r="AL131" s="79">
        <v>3</v>
      </c>
      <c r="AM131" s="149"/>
      <c r="AO131" s="152">
        <v>44276</v>
      </c>
      <c r="AP131" s="37"/>
      <c r="AQ131" s="118"/>
      <c r="AR131" s="119"/>
      <c r="AS131" s="152">
        <v>44276</v>
      </c>
      <c r="AT131" s="37"/>
      <c r="AU131" s="118"/>
      <c r="AW131" s="152">
        <v>44276</v>
      </c>
      <c r="AX131" s="37"/>
      <c r="AY131" s="118"/>
      <c r="BA131" s="152">
        <v>44276</v>
      </c>
      <c r="BB131" s="37"/>
      <c r="BC131" s="118"/>
      <c r="BE131" s="152">
        <v>44276</v>
      </c>
      <c r="BF131" s="37"/>
      <c r="BG131" s="118"/>
      <c r="BI131" s="152">
        <v>44276</v>
      </c>
      <c r="BJ131" s="37"/>
      <c r="BK131" s="118"/>
      <c r="BL131" s="119"/>
      <c r="BM131" s="152">
        <v>44276</v>
      </c>
      <c r="BN131" s="37"/>
      <c r="BO131" s="118"/>
      <c r="BQ131" s="152">
        <v>44276</v>
      </c>
      <c r="BR131" s="37"/>
      <c r="BS131" s="118"/>
      <c r="BU131" s="152">
        <v>44276</v>
      </c>
      <c r="BV131" s="37"/>
      <c r="BW131" s="118"/>
      <c r="BY131" s="152">
        <v>44276</v>
      </c>
      <c r="BZ131" s="37"/>
      <c r="CA131" s="118"/>
    </row>
    <row r="132" spans="1:79">
      <c r="A132" s="129">
        <v>44276</v>
      </c>
      <c r="B132" s="37"/>
      <c r="C132" s="118"/>
      <c r="E132" s="117">
        <v>44275</v>
      </c>
      <c r="F132" s="117"/>
      <c r="G132" s="80"/>
      <c r="I132" s="119">
        <v>44273</v>
      </c>
      <c r="K132" s="80"/>
      <c r="L132" s="37"/>
      <c r="M132" s="37"/>
      <c r="N132" s="121" t="s">
        <v>85</v>
      </c>
      <c r="O132" s="121">
        <f>COUNTA(O123:O131)</f>
        <v>6</v>
      </c>
      <c r="P132" s="122">
        <f>IF(O132&lt;=$A$45,1,O132/$A$45)</f>
        <v>1</v>
      </c>
      <c r="R132" s="37"/>
      <c r="S132" s="130"/>
      <c r="U132" s="152">
        <v>44276</v>
      </c>
      <c r="V132" s="37"/>
      <c r="W132" s="79"/>
      <c r="Y132" s="117">
        <v>44276</v>
      </c>
      <c r="Z132" s="37"/>
      <c r="AA132" s="79"/>
      <c r="AC132" s="117">
        <v>44275</v>
      </c>
      <c r="AD132" s="37"/>
      <c r="AE132" s="80"/>
      <c r="AG132" s="119">
        <v>44274</v>
      </c>
      <c r="AI132" s="79"/>
      <c r="AK132" s="119">
        <v>44273</v>
      </c>
      <c r="AL132" s="79">
        <v>4</v>
      </c>
      <c r="AM132" s="149"/>
      <c r="AO132" s="154">
        <v>44277</v>
      </c>
      <c r="AP132" s="79">
        <v>12</v>
      </c>
      <c r="AQ132" s="118"/>
      <c r="AS132" s="154">
        <v>44277</v>
      </c>
      <c r="AT132" s="79">
        <v>23</v>
      </c>
      <c r="AU132" s="118"/>
      <c r="AW132" s="154">
        <v>44277</v>
      </c>
      <c r="AX132" s="79">
        <v>34</v>
      </c>
      <c r="AY132" s="118"/>
      <c r="BA132" s="154">
        <v>44277</v>
      </c>
      <c r="BB132" s="79">
        <v>45</v>
      </c>
      <c r="BC132" s="118"/>
      <c r="BE132" s="154">
        <v>44277</v>
      </c>
      <c r="BF132" s="79">
        <v>56</v>
      </c>
      <c r="BG132" s="118"/>
      <c r="BI132" s="154">
        <v>44277</v>
      </c>
      <c r="BJ132" s="79">
        <v>12</v>
      </c>
      <c r="BK132" s="118"/>
      <c r="BM132" s="154">
        <v>44277</v>
      </c>
      <c r="BN132" s="79">
        <v>23</v>
      </c>
      <c r="BO132" s="118"/>
      <c r="BQ132" s="154">
        <v>44277</v>
      </c>
      <c r="BR132" s="79">
        <v>34</v>
      </c>
      <c r="BS132" s="118"/>
      <c r="BU132" s="154">
        <v>44277</v>
      </c>
      <c r="BV132" s="79">
        <v>45</v>
      </c>
      <c r="BW132" s="118"/>
      <c r="BY132" s="154">
        <v>44277</v>
      </c>
      <c r="BZ132" s="79">
        <v>56</v>
      </c>
      <c r="CA132" s="118"/>
    </row>
    <row r="133" spans="1:79">
      <c r="A133" s="131">
        <v>44277</v>
      </c>
      <c r="B133" s="79">
        <v>3</v>
      </c>
      <c r="C133" s="118"/>
      <c r="E133" s="117">
        <v>44276</v>
      </c>
      <c r="F133" s="117"/>
      <c r="G133" s="80"/>
      <c r="I133" s="119">
        <v>44274</v>
      </c>
      <c r="K133" s="80"/>
      <c r="N133" s="80">
        <v>44272</v>
      </c>
      <c r="O133" s="120">
        <v>1</v>
      </c>
      <c r="P133" s="120">
        <v>3</v>
      </c>
      <c r="R133" s="120">
        <v>2</v>
      </c>
      <c r="S133" s="125"/>
      <c r="U133" s="154">
        <v>44277</v>
      </c>
      <c r="V133" s="79">
        <v>3</v>
      </c>
      <c r="W133" s="79"/>
      <c r="Y133" s="118">
        <v>44277</v>
      </c>
      <c r="Z133" s="79">
        <v>5</v>
      </c>
      <c r="AA133" s="79"/>
      <c r="AC133" s="117">
        <v>44276</v>
      </c>
      <c r="AD133" s="37"/>
      <c r="AE133" s="80"/>
      <c r="AG133" s="117">
        <v>44275</v>
      </c>
      <c r="AH133" s="37"/>
      <c r="AI133" s="79"/>
      <c r="AK133" s="119">
        <v>44274</v>
      </c>
      <c r="AL133" s="79">
        <v>5</v>
      </c>
      <c r="AM133" s="149"/>
      <c r="AO133" s="156">
        <v>44278</v>
      </c>
      <c r="AQ133" s="118"/>
      <c r="AS133" s="156">
        <v>44278</v>
      </c>
      <c r="AT133" s="79">
        <v>24</v>
      </c>
      <c r="AU133" s="118"/>
      <c r="AW133" s="156">
        <v>44278</v>
      </c>
      <c r="AX133" s="79">
        <v>35</v>
      </c>
      <c r="AY133" s="118"/>
      <c r="BA133" s="156">
        <v>44278</v>
      </c>
      <c r="BB133" s="79">
        <v>46</v>
      </c>
      <c r="BC133" s="118"/>
      <c r="BE133" s="156">
        <v>44278</v>
      </c>
      <c r="BF133" s="79">
        <v>57</v>
      </c>
      <c r="BG133" s="118"/>
      <c r="BI133" s="156">
        <v>44278</v>
      </c>
      <c r="BK133" s="118"/>
      <c r="BM133" s="156">
        <v>44278</v>
      </c>
      <c r="BN133" s="79">
        <v>24</v>
      </c>
      <c r="BO133" s="118"/>
      <c r="BQ133" s="156">
        <v>44278</v>
      </c>
      <c r="BR133" s="79">
        <v>35</v>
      </c>
      <c r="BS133" s="118"/>
      <c r="BU133" s="156">
        <v>44278</v>
      </c>
      <c r="BV133" s="79">
        <v>46</v>
      </c>
      <c r="BW133" s="118"/>
      <c r="BY133" s="156">
        <v>44278</v>
      </c>
      <c r="BZ133" s="79">
        <v>57</v>
      </c>
      <c r="CA133" s="118"/>
    </row>
    <row r="134" spans="1:79">
      <c r="A134" s="133">
        <v>44278</v>
      </c>
      <c r="C134" s="118"/>
      <c r="E134" s="80">
        <v>44277</v>
      </c>
      <c r="F134" s="120">
        <v>5</v>
      </c>
      <c r="G134" s="80"/>
      <c r="I134" s="117">
        <v>44275</v>
      </c>
      <c r="J134" s="37"/>
      <c r="K134" s="80"/>
      <c r="N134" s="80">
        <v>44273</v>
      </c>
      <c r="O134" s="120">
        <v>2</v>
      </c>
      <c r="P134" s="120">
        <v>4</v>
      </c>
      <c r="R134" s="120">
        <v>3</v>
      </c>
      <c r="S134" s="125"/>
      <c r="T134" s="79"/>
      <c r="U134" s="156">
        <v>44278</v>
      </c>
      <c r="V134" s="79">
        <v>6</v>
      </c>
      <c r="W134" s="79"/>
      <c r="Y134" s="118">
        <v>44277</v>
      </c>
      <c r="Z134" s="79">
        <v>6</v>
      </c>
      <c r="AA134" s="118"/>
      <c r="AC134" s="80">
        <v>44277</v>
      </c>
      <c r="AD134" s="120">
        <v>4</v>
      </c>
      <c r="AE134" s="80"/>
      <c r="AG134" s="117">
        <v>44276</v>
      </c>
      <c r="AH134" s="37"/>
      <c r="AI134" s="79"/>
      <c r="AK134" s="117">
        <v>44275</v>
      </c>
      <c r="AL134" s="37"/>
      <c r="AM134" s="149"/>
      <c r="AO134" s="156">
        <v>44279</v>
      </c>
      <c r="AQ134" s="118"/>
      <c r="AS134" s="156">
        <v>44279</v>
      </c>
      <c r="AU134" s="118"/>
      <c r="AW134" s="156">
        <v>44279</v>
      </c>
      <c r="AX134">
        <v>36</v>
      </c>
      <c r="AY134" s="118"/>
      <c r="BA134" s="156">
        <v>44279</v>
      </c>
      <c r="BB134" s="79">
        <v>47</v>
      </c>
      <c r="BC134" s="118"/>
      <c r="BE134" s="156">
        <v>44279</v>
      </c>
      <c r="BF134" s="79">
        <v>58</v>
      </c>
      <c r="BG134" s="118"/>
      <c r="BI134" s="156">
        <v>44279</v>
      </c>
      <c r="BK134" s="118"/>
      <c r="BM134" s="156">
        <v>44279</v>
      </c>
      <c r="BO134" s="118"/>
      <c r="BQ134" s="156">
        <v>44279</v>
      </c>
      <c r="BR134">
        <v>36</v>
      </c>
      <c r="BS134" s="118"/>
      <c r="BU134" s="156">
        <v>44279</v>
      </c>
      <c r="BV134" s="79">
        <v>47</v>
      </c>
      <c r="BW134" s="118"/>
      <c r="BY134" s="156">
        <v>44279</v>
      </c>
      <c r="BZ134" s="79">
        <v>58</v>
      </c>
      <c r="CA134" s="118"/>
    </row>
    <row r="135" spans="1:79">
      <c r="A135" s="133">
        <v>44279</v>
      </c>
      <c r="C135" s="118"/>
      <c r="E135" s="80">
        <v>44278</v>
      </c>
      <c r="F135" s="120">
        <v>6</v>
      </c>
      <c r="G135" s="80"/>
      <c r="I135" s="117">
        <v>44276</v>
      </c>
      <c r="J135" s="37"/>
      <c r="K135" s="80"/>
      <c r="L135" s="120">
        <v>6</v>
      </c>
      <c r="N135" s="119">
        <v>44274</v>
      </c>
      <c r="S135" s="125"/>
      <c r="U135" s="156">
        <v>44279</v>
      </c>
      <c r="W135" s="79"/>
      <c r="Y135" s="119">
        <v>44279</v>
      </c>
      <c r="AA135" s="79"/>
      <c r="AC135" s="80">
        <v>44278</v>
      </c>
      <c r="AD135" s="120">
        <v>5</v>
      </c>
      <c r="AE135" s="80"/>
      <c r="AG135" s="118">
        <v>44277</v>
      </c>
      <c r="AH135" s="79">
        <v>5</v>
      </c>
      <c r="AI135" s="79"/>
      <c r="AK135" s="117">
        <v>44276</v>
      </c>
      <c r="AL135" s="37"/>
      <c r="AM135" s="148"/>
      <c r="AO135" s="156">
        <v>44280</v>
      </c>
      <c r="AQ135" s="118"/>
      <c r="AS135" s="156">
        <v>44280</v>
      </c>
      <c r="AU135" s="118"/>
      <c r="AW135" s="156">
        <v>44280</v>
      </c>
      <c r="AY135" s="118"/>
      <c r="BA135" s="156">
        <v>44280</v>
      </c>
      <c r="BB135" s="79">
        <v>48</v>
      </c>
      <c r="BC135" s="118"/>
      <c r="BE135" s="156">
        <v>44280</v>
      </c>
      <c r="BF135" s="79">
        <v>59</v>
      </c>
      <c r="BG135" s="118"/>
      <c r="BI135" s="156">
        <v>44280</v>
      </c>
      <c r="BK135" s="118"/>
      <c r="BM135" s="156">
        <v>44280</v>
      </c>
      <c r="BO135" s="118"/>
      <c r="BQ135" s="156">
        <v>44280</v>
      </c>
      <c r="BS135" s="118"/>
      <c r="BU135" s="156">
        <v>44280</v>
      </c>
      <c r="BV135" s="79">
        <v>48</v>
      </c>
      <c r="BW135" s="118"/>
      <c r="BY135" s="156">
        <v>44280</v>
      </c>
      <c r="BZ135" s="79">
        <v>59</v>
      </c>
      <c r="CA135" s="118"/>
    </row>
    <row r="136" spans="1:79">
      <c r="A136" s="133">
        <v>44280</v>
      </c>
      <c r="C136" s="118"/>
      <c r="E136" s="121" t="s">
        <v>85</v>
      </c>
      <c r="F136" s="121">
        <f>COUNTA(F120:F135)</f>
        <v>6</v>
      </c>
      <c r="G136" s="122">
        <f>IF(F136&lt;=$A$45,1,F136/$A$45)</f>
        <v>1</v>
      </c>
      <c r="I136" s="80">
        <v>44277</v>
      </c>
      <c r="J136" s="120">
        <v>4</v>
      </c>
      <c r="K136" s="80"/>
      <c r="N136" s="117">
        <v>44275</v>
      </c>
      <c r="O136" s="37"/>
      <c r="P136" s="37"/>
      <c r="R136" s="119"/>
      <c r="S136" s="125"/>
      <c r="U136" s="156">
        <v>44280</v>
      </c>
      <c r="W136" s="118"/>
      <c r="X136" s="119"/>
      <c r="Y136" s="119">
        <v>44280</v>
      </c>
      <c r="AA136" s="79"/>
      <c r="AC136" s="80">
        <v>44279</v>
      </c>
      <c r="AD136" s="120">
        <v>6</v>
      </c>
      <c r="AE136" s="80"/>
      <c r="AG136" s="118">
        <v>44278</v>
      </c>
      <c r="AH136" s="79">
        <v>6</v>
      </c>
      <c r="AI136" s="79"/>
      <c r="AK136" s="118">
        <v>44277</v>
      </c>
      <c r="AL136" s="79">
        <v>6</v>
      </c>
      <c r="AM136" s="149"/>
      <c r="AO136" s="156">
        <v>44281</v>
      </c>
      <c r="AQ136" s="118"/>
      <c r="AS136" s="156">
        <v>44281</v>
      </c>
      <c r="AU136" s="118"/>
      <c r="AW136" s="156">
        <v>44281</v>
      </c>
      <c r="AY136" s="118"/>
      <c r="BA136" s="156">
        <v>44281</v>
      </c>
      <c r="BC136" s="118"/>
      <c r="BE136" s="156">
        <v>44281</v>
      </c>
      <c r="BF136" s="79">
        <v>60</v>
      </c>
      <c r="BG136" s="118"/>
      <c r="BI136" s="156">
        <v>44281</v>
      </c>
      <c r="BK136" s="118"/>
      <c r="BM136" s="156">
        <v>44281</v>
      </c>
      <c r="BO136" s="118"/>
      <c r="BQ136" s="156">
        <v>44281</v>
      </c>
      <c r="BS136" s="118"/>
      <c r="BU136" s="156">
        <v>44281</v>
      </c>
      <c r="BW136" s="118"/>
      <c r="BY136" s="156">
        <v>44281</v>
      </c>
      <c r="BZ136" s="79">
        <v>60</v>
      </c>
      <c r="CA136" s="118"/>
    </row>
    <row r="137" spans="1:79">
      <c r="A137" s="133">
        <v>44281</v>
      </c>
      <c r="C137" s="118"/>
      <c r="E137" s="119">
        <v>44279</v>
      </c>
      <c r="F137" s="119"/>
      <c r="G137" s="119"/>
      <c r="I137" s="80">
        <v>44278</v>
      </c>
      <c r="J137" s="120">
        <v>5</v>
      </c>
      <c r="K137" s="80"/>
      <c r="N137" s="117">
        <v>44276</v>
      </c>
      <c r="O137" s="37"/>
      <c r="P137" s="37"/>
      <c r="S137" s="125"/>
      <c r="U137" s="156">
        <v>44281</v>
      </c>
      <c r="W137" s="79"/>
      <c r="Y137" s="119">
        <v>44281</v>
      </c>
      <c r="AA137" s="79"/>
      <c r="AC137" s="119">
        <v>44280</v>
      </c>
      <c r="AE137" s="80"/>
      <c r="AG137" s="118">
        <v>44279</v>
      </c>
      <c r="AH137" s="79">
        <v>7</v>
      </c>
      <c r="AI137" s="79"/>
      <c r="AK137" s="119">
        <v>44278</v>
      </c>
      <c r="AL137" s="79">
        <v>7</v>
      </c>
      <c r="AM137" s="149"/>
      <c r="AO137" s="152">
        <v>44282</v>
      </c>
      <c r="AP137" s="37"/>
      <c r="AQ137" s="118"/>
      <c r="AR137" s="119"/>
      <c r="AS137" s="152">
        <v>44282</v>
      </c>
      <c r="AT137" s="37"/>
      <c r="AU137" s="118"/>
      <c r="AW137" s="152">
        <v>44282</v>
      </c>
      <c r="AX137" s="37"/>
      <c r="AY137" s="118"/>
      <c r="BA137" s="152">
        <v>44282</v>
      </c>
      <c r="BB137" s="37"/>
      <c r="BC137" s="118"/>
      <c r="BE137" s="152">
        <v>44282</v>
      </c>
      <c r="BF137" s="37"/>
      <c r="BG137" s="118"/>
      <c r="BI137" s="152">
        <v>44282</v>
      </c>
      <c r="BJ137" s="37"/>
      <c r="BK137" s="118"/>
      <c r="BL137" s="119"/>
      <c r="BM137" s="152">
        <v>44282</v>
      </c>
      <c r="BN137" s="37"/>
      <c r="BO137" s="118"/>
      <c r="BQ137" s="152">
        <v>44282</v>
      </c>
      <c r="BR137" s="37"/>
      <c r="BS137" s="118"/>
      <c r="BU137" s="152">
        <v>44282</v>
      </c>
      <c r="BV137" s="37"/>
      <c r="BW137" s="118"/>
      <c r="BY137" s="152">
        <v>44282</v>
      </c>
      <c r="BZ137" s="37"/>
      <c r="CA137" s="118"/>
    </row>
    <row r="138" spans="1:79">
      <c r="A138" s="129">
        <v>44282</v>
      </c>
      <c r="B138" s="37"/>
      <c r="C138" s="118"/>
      <c r="E138" s="119">
        <v>44280</v>
      </c>
      <c r="F138" s="119"/>
      <c r="G138" s="119"/>
      <c r="I138" s="80">
        <v>44279</v>
      </c>
      <c r="J138" s="120">
        <v>6</v>
      </c>
      <c r="K138" s="80"/>
      <c r="L138" s="37"/>
      <c r="M138" s="37"/>
      <c r="N138" s="80">
        <v>44277</v>
      </c>
      <c r="O138" s="120">
        <v>3</v>
      </c>
      <c r="P138" s="120">
        <v>1</v>
      </c>
      <c r="R138" s="37"/>
      <c r="S138" s="125"/>
      <c r="U138" s="152">
        <v>44282</v>
      </c>
      <c r="V138" s="37"/>
      <c r="W138" s="79"/>
      <c r="Y138" s="117">
        <v>44282</v>
      </c>
      <c r="Z138" s="37"/>
      <c r="AA138" s="79"/>
      <c r="AC138" s="119">
        <v>44281</v>
      </c>
      <c r="AE138" s="80"/>
      <c r="AG138" s="118">
        <v>44280</v>
      </c>
      <c r="AH138" s="79">
        <v>8</v>
      </c>
      <c r="AI138" s="79"/>
      <c r="AK138" s="119">
        <v>44279</v>
      </c>
      <c r="AL138" s="79">
        <v>8</v>
      </c>
      <c r="AM138" s="149"/>
      <c r="AO138" s="152">
        <v>44283</v>
      </c>
      <c r="AP138" s="37"/>
      <c r="AQ138" s="118"/>
      <c r="AS138" s="152">
        <v>44283</v>
      </c>
      <c r="AT138" s="37"/>
      <c r="AU138" s="118"/>
      <c r="AW138" s="152">
        <v>44283</v>
      </c>
      <c r="AX138" s="37"/>
      <c r="AY138" s="118"/>
      <c r="BA138" s="152">
        <v>44283</v>
      </c>
      <c r="BB138" s="37"/>
      <c r="BC138" s="118"/>
      <c r="BE138" s="152">
        <v>44283</v>
      </c>
      <c r="BF138" s="37"/>
      <c r="BG138" s="118"/>
      <c r="BI138" s="152">
        <v>44283</v>
      </c>
      <c r="BJ138" s="37"/>
      <c r="BK138" s="118"/>
      <c r="BM138" s="152">
        <v>44283</v>
      </c>
      <c r="BN138" s="37"/>
      <c r="BO138" s="118"/>
      <c r="BQ138" s="152">
        <v>44283</v>
      </c>
      <c r="BR138" s="37"/>
      <c r="BS138" s="118"/>
      <c r="BU138" s="152">
        <v>44283</v>
      </c>
      <c r="BV138" s="37"/>
      <c r="BW138" s="118"/>
      <c r="BY138" s="152">
        <v>44283</v>
      </c>
      <c r="BZ138" s="37"/>
      <c r="CA138" s="118"/>
    </row>
    <row r="139" spans="1:79">
      <c r="A139" s="129">
        <v>44283</v>
      </c>
      <c r="B139" s="37"/>
      <c r="C139" s="118"/>
      <c r="E139" s="119">
        <v>44281</v>
      </c>
      <c r="F139" s="119"/>
      <c r="G139" s="119"/>
      <c r="I139" s="121" t="s">
        <v>85</v>
      </c>
      <c r="J139" s="121">
        <f>COUNTA(J129:J138)</f>
        <v>6</v>
      </c>
      <c r="K139" s="122">
        <f>IF(J139&lt;=$A$45,1,J139/$A$45)</f>
        <v>1</v>
      </c>
      <c r="L139" s="37"/>
      <c r="M139" s="37"/>
      <c r="N139" s="80">
        <v>44278</v>
      </c>
      <c r="O139" s="120">
        <v>4</v>
      </c>
      <c r="P139" s="120">
        <v>2</v>
      </c>
      <c r="R139" s="37"/>
      <c r="S139" s="125"/>
      <c r="U139" s="152">
        <v>44283</v>
      </c>
      <c r="V139" s="37"/>
      <c r="W139" s="79"/>
      <c r="Y139" s="117">
        <v>44283</v>
      </c>
      <c r="Z139" s="37"/>
      <c r="AA139" s="79"/>
      <c r="AC139" s="117">
        <v>44282</v>
      </c>
      <c r="AD139" s="37"/>
      <c r="AE139" s="80"/>
      <c r="AG139" s="119">
        <v>44281</v>
      </c>
      <c r="AI139" s="79"/>
      <c r="AK139" s="119">
        <v>44280</v>
      </c>
      <c r="AL139" s="79">
        <v>9</v>
      </c>
      <c r="AM139" s="149"/>
      <c r="AO139" s="154">
        <v>44284</v>
      </c>
      <c r="AP139" s="79">
        <v>13</v>
      </c>
      <c r="AQ139" s="118"/>
      <c r="AS139" s="154">
        <v>44284</v>
      </c>
      <c r="AT139" s="79">
        <v>25</v>
      </c>
      <c r="AU139" s="118"/>
      <c r="AW139" s="154">
        <v>44284</v>
      </c>
      <c r="AX139" s="79">
        <v>37</v>
      </c>
      <c r="AY139" s="118"/>
      <c r="BA139" s="154">
        <v>44284</v>
      </c>
      <c r="BB139" s="79">
        <v>49</v>
      </c>
      <c r="BC139" s="118"/>
      <c r="BE139" s="154">
        <v>44284</v>
      </c>
      <c r="BF139" s="79">
        <v>61</v>
      </c>
      <c r="BG139" s="118"/>
      <c r="BI139" s="154">
        <v>44284</v>
      </c>
      <c r="BJ139" s="79">
        <v>13</v>
      </c>
      <c r="BK139" s="118"/>
      <c r="BM139" s="154">
        <v>44284</v>
      </c>
      <c r="BN139" s="79">
        <v>25</v>
      </c>
      <c r="BO139" s="118"/>
      <c r="BQ139" s="154">
        <v>44284</v>
      </c>
      <c r="BR139" s="79">
        <v>37</v>
      </c>
      <c r="BS139" s="118"/>
      <c r="BU139" s="154">
        <v>44284</v>
      </c>
      <c r="BV139" s="79">
        <v>49</v>
      </c>
      <c r="BW139" s="118"/>
      <c r="BY139" s="154">
        <v>44284</v>
      </c>
      <c r="BZ139" s="79">
        <v>61</v>
      </c>
      <c r="CA139" s="118"/>
    </row>
    <row r="140" spans="1:79">
      <c r="A140" s="131">
        <v>44284</v>
      </c>
      <c r="B140" s="79">
        <v>4</v>
      </c>
      <c r="C140" s="118"/>
      <c r="D140" s="119"/>
      <c r="E140" s="117">
        <v>44282</v>
      </c>
      <c r="F140" s="37"/>
      <c r="G140" s="37"/>
      <c r="I140" s="119">
        <v>44280</v>
      </c>
      <c r="L140" s="119"/>
      <c r="M140" s="79">
        <v>1</v>
      </c>
      <c r="N140" s="80">
        <v>44279</v>
      </c>
      <c r="O140" s="120">
        <v>5</v>
      </c>
      <c r="P140" s="120">
        <v>3</v>
      </c>
      <c r="R140" s="118">
        <f>EDATE($A140,1)-1</f>
        <v>44314</v>
      </c>
      <c r="S140" s="125"/>
      <c r="U140" s="154">
        <v>44284</v>
      </c>
      <c r="V140" s="79">
        <v>4</v>
      </c>
      <c r="W140" s="118"/>
      <c r="X140" s="119"/>
      <c r="Y140" s="118">
        <v>44284</v>
      </c>
      <c r="Z140" s="79">
        <v>7</v>
      </c>
      <c r="AA140" s="79"/>
      <c r="AC140" s="117">
        <v>44283</v>
      </c>
      <c r="AD140" s="37"/>
      <c r="AE140" s="80"/>
      <c r="AG140" s="117">
        <v>44282</v>
      </c>
      <c r="AH140" s="37"/>
      <c r="AI140" s="79"/>
      <c r="AK140" s="119">
        <v>44281</v>
      </c>
      <c r="AL140" s="79">
        <v>10</v>
      </c>
      <c r="AM140" s="149"/>
      <c r="AO140" s="156">
        <v>44285</v>
      </c>
      <c r="AQ140" s="118"/>
      <c r="AS140" s="156">
        <v>44285</v>
      </c>
      <c r="AT140">
        <v>26</v>
      </c>
      <c r="AU140" s="118"/>
      <c r="AW140" s="156">
        <v>44285</v>
      </c>
      <c r="AX140">
        <v>38</v>
      </c>
      <c r="AY140" s="118"/>
      <c r="BA140" s="156">
        <v>44285</v>
      </c>
      <c r="BB140" s="79">
        <v>50</v>
      </c>
      <c r="BC140" s="118"/>
      <c r="BE140" s="156">
        <v>44285</v>
      </c>
      <c r="BF140" s="79">
        <v>62</v>
      </c>
      <c r="BG140" s="118"/>
      <c r="BI140" s="156">
        <v>44285</v>
      </c>
      <c r="BK140" s="118"/>
      <c r="BM140" s="156">
        <v>44285</v>
      </c>
      <c r="BN140">
        <v>26</v>
      </c>
      <c r="BO140" s="118"/>
      <c r="BQ140" s="156">
        <v>44285</v>
      </c>
      <c r="BR140">
        <v>38</v>
      </c>
      <c r="BS140" s="118"/>
      <c r="BU140" s="156">
        <v>44285</v>
      </c>
      <c r="BV140" s="79">
        <v>50</v>
      </c>
      <c r="BW140" s="118"/>
      <c r="BY140" s="156">
        <v>44285</v>
      </c>
      <c r="BZ140" s="79">
        <v>62</v>
      </c>
      <c r="CA140" s="118"/>
    </row>
    <row r="141" spans="1:79">
      <c r="A141" s="133">
        <v>44285</v>
      </c>
      <c r="C141" s="118"/>
      <c r="E141" s="117">
        <v>44283</v>
      </c>
      <c r="F141" s="37"/>
      <c r="G141" s="37"/>
      <c r="I141" s="119">
        <v>44281</v>
      </c>
      <c r="M141" s="79">
        <v>2</v>
      </c>
      <c r="N141" s="80">
        <v>44280</v>
      </c>
      <c r="O141" s="120">
        <v>6</v>
      </c>
      <c r="P141" s="120">
        <v>4</v>
      </c>
      <c r="R141" s="79"/>
      <c r="S141" s="125"/>
      <c r="U141" s="156">
        <v>44285</v>
      </c>
      <c r="W141" s="79"/>
      <c r="Y141" s="118">
        <v>44285</v>
      </c>
      <c r="Z141" s="79">
        <v>8</v>
      </c>
      <c r="AA141" s="79"/>
      <c r="AC141" s="80">
        <v>44284</v>
      </c>
      <c r="AD141" s="120">
        <v>7</v>
      </c>
      <c r="AE141" s="80"/>
      <c r="AG141" s="117">
        <v>44283</v>
      </c>
      <c r="AH141" s="37"/>
      <c r="AI141" s="79"/>
      <c r="AK141" s="121" t="s">
        <v>85</v>
      </c>
      <c r="AL141" s="121">
        <f>COUNTA(AL129:AL140)</f>
        <v>10</v>
      </c>
      <c r="AM141" s="158">
        <f>IF(AL141&lt;=$U$45,1,AL141/$U$45)</f>
        <v>1</v>
      </c>
      <c r="AO141" s="156">
        <v>44286</v>
      </c>
      <c r="AQ141" s="118"/>
      <c r="AR141" s="119"/>
      <c r="AS141" s="156">
        <v>44286</v>
      </c>
      <c r="AU141" s="118"/>
      <c r="AW141" s="156">
        <v>44286</v>
      </c>
      <c r="AX141">
        <v>39</v>
      </c>
      <c r="AY141" s="118"/>
      <c r="BA141" s="156">
        <v>44286</v>
      </c>
      <c r="BB141" s="79">
        <v>51</v>
      </c>
      <c r="BC141" s="118"/>
      <c r="BE141" s="156">
        <v>44286</v>
      </c>
      <c r="BF141" s="79">
        <v>63</v>
      </c>
      <c r="BG141" s="118"/>
      <c r="BI141" s="156">
        <v>44286</v>
      </c>
      <c r="BK141" s="118"/>
      <c r="BL141" s="119"/>
      <c r="BM141" s="156">
        <v>44286</v>
      </c>
      <c r="BO141" s="118"/>
      <c r="BQ141" s="156">
        <v>44286</v>
      </c>
      <c r="BR141">
        <v>39</v>
      </c>
      <c r="BS141" s="118"/>
      <c r="BU141" s="156">
        <v>44286</v>
      </c>
      <c r="BV141" s="79">
        <v>51</v>
      </c>
      <c r="BW141" s="118"/>
      <c r="BY141" s="156">
        <v>44286</v>
      </c>
      <c r="BZ141" s="79">
        <v>63</v>
      </c>
      <c r="CA141" s="118"/>
    </row>
    <row r="142" spans="1:79">
      <c r="A142" s="133">
        <v>44286</v>
      </c>
      <c r="C142" s="118"/>
      <c r="E142" s="118">
        <v>44284</v>
      </c>
      <c r="F142" s="79">
        <v>1</v>
      </c>
      <c r="G142" s="118"/>
      <c r="I142" s="117">
        <v>44282</v>
      </c>
      <c r="J142" s="37"/>
      <c r="K142" s="37"/>
      <c r="N142" s="121" t="s">
        <v>85</v>
      </c>
      <c r="O142" s="121">
        <f>COUNTA(O133:O141)</f>
        <v>6</v>
      </c>
      <c r="P142" s="122">
        <f>IF(O142&lt;=$A$45,1,O142/$A$45)</f>
        <v>1</v>
      </c>
      <c r="R142" s="79">
        <v>3</v>
      </c>
      <c r="S142" s="134"/>
      <c r="U142" s="156">
        <v>44286</v>
      </c>
      <c r="W142" s="79"/>
      <c r="Y142" s="119">
        <v>44286</v>
      </c>
      <c r="AA142" s="79"/>
      <c r="AC142" s="80">
        <v>44285</v>
      </c>
      <c r="AD142" s="120">
        <v>8</v>
      </c>
      <c r="AE142" s="80"/>
      <c r="AG142" s="118">
        <v>44284</v>
      </c>
      <c r="AH142" s="79">
        <v>9</v>
      </c>
      <c r="AI142" s="79"/>
      <c r="AK142" s="117">
        <v>44282</v>
      </c>
      <c r="AL142" s="37"/>
      <c r="AM142" s="149"/>
      <c r="AO142" s="156">
        <v>44287</v>
      </c>
      <c r="AQ142" s="118"/>
      <c r="AS142" s="156">
        <v>44287</v>
      </c>
      <c r="AU142" s="118"/>
      <c r="AW142" s="156">
        <v>44287</v>
      </c>
      <c r="AY142" s="118"/>
      <c r="BA142" s="156">
        <v>44287</v>
      </c>
      <c r="BB142" s="79">
        <v>52</v>
      </c>
      <c r="BC142" s="118"/>
      <c r="BE142" s="156">
        <v>44287</v>
      </c>
      <c r="BF142" s="79">
        <v>64</v>
      </c>
      <c r="BG142" s="118"/>
      <c r="BI142" s="156">
        <v>44287</v>
      </c>
      <c r="BK142" s="118"/>
      <c r="BM142" s="156">
        <v>44287</v>
      </c>
      <c r="BO142" s="118"/>
      <c r="BQ142" s="156">
        <v>44287</v>
      </c>
      <c r="BS142" s="118"/>
      <c r="BU142" s="156">
        <v>44287</v>
      </c>
      <c r="BV142" s="79">
        <v>52</v>
      </c>
      <c r="BW142" s="118"/>
      <c r="BY142" s="156">
        <v>44287</v>
      </c>
      <c r="BZ142" s="79">
        <v>64</v>
      </c>
      <c r="CA142" s="118"/>
    </row>
    <row r="143" spans="1:79">
      <c r="A143" s="133">
        <v>44287</v>
      </c>
      <c r="C143" s="118"/>
      <c r="E143" s="118">
        <v>44285</v>
      </c>
      <c r="F143" s="79">
        <v>2</v>
      </c>
      <c r="G143" s="118"/>
      <c r="I143" s="117">
        <v>44283</v>
      </c>
      <c r="J143" s="37"/>
      <c r="K143" s="37"/>
      <c r="N143" s="119">
        <v>44281</v>
      </c>
      <c r="R143" s="79">
        <v>4</v>
      </c>
      <c r="S143" s="134"/>
      <c r="U143" s="156">
        <v>44287</v>
      </c>
      <c r="W143" s="79"/>
      <c r="Y143" s="119">
        <v>44287</v>
      </c>
      <c r="AA143" s="79"/>
      <c r="AC143" s="80">
        <v>44286</v>
      </c>
      <c r="AD143" s="120">
        <v>9</v>
      </c>
      <c r="AE143" s="80"/>
      <c r="AG143" s="118">
        <v>44285</v>
      </c>
      <c r="AH143" s="79">
        <v>10</v>
      </c>
      <c r="AI143" s="79"/>
      <c r="AK143" s="117">
        <v>44283</v>
      </c>
      <c r="AL143" s="37"/>
      <c r="AM143" s="149"/>
      <c r="AO143" s="156">
        <v>44288</v>
      </c>
      <c r="AQ143" s="118"/>
      <c r="AS143" s="156">
        <v>44288</v>
      </c>
      <c r="AU143" s="118"/>
      <c r="AW143" s="156">
        <v>44288</v>
      </c>
      <c r="AY143" s="118"/>
      <c r="BA143" s="156">
        <v>44288</v>
      </c>
      <c r="BC143" s="118"/>
      <c r="BE143" s="156">
        <v>44288</v>
      </c>
      <c r="BF143" s="79">
        <v>65</v>
      </c>
      <c r="BG143" s="118"/>
      <c r="BI143" s="156">
        <v>44288</v>
      </c>
      <c r="BK143" s="118"/>
      <c r="BM143" s="156">
        <v>44288</v>
      </c>
      <c r="BO143" s="118"/>
      <c r="BQ143" s="156">
        <v>44288</v>
      </c>
      <c r="BS143" s="118"/>
      <c r="BU143" s="156">
        <v>44288</v>
      </c>
      <c r="BW143" s="118"/>
      <c r="BY143" s="156">
        <v>44288</v>
      </c>
      <c r="BZ143" s="79">
        <v>65</v>
      </c>
      <c r="CA143" s="118"/>
    </row>
    <row r="144" spans="1:79">
      <c r="A144" s="133">
        <v>44288</v>
      </c>
      <c r="C144" s="118"/>
      <c r="E144" s="119">
        <v>44286</v>
      </c>
      <c r="G144" s="118"/>
      <c r="I144" s="118">
        <v>44284</v>
      </c>
      <c r="J144" s="79">
        <v>1</v>
      </c>
      <c r="K144" s="118"/>
      <c r="N144" s="117">
        <v>44282</v>
      </c>
      <c r="O144" s="37"/>
      <c r="P144" s="37"/>
      <c r="R144" s="79">
        <v>5</v>
      </c>
      <c r="S144" s="134"/>
      <c r="U144" s="156">
        <v>44288</v>
      </c>
      <c r="W144" s="79"/>
      <c r="Y144" s="119">
        <v>44288</v>
      </c>
      <c r="AA144" s="79"/>
      <c r="AC144" s="119">
        <v>44287</v>
      </c>
      <c r="AE144" s="80"/>
      <c r="AG144" s="121" t="s">
        <v>85</v>
      </c>
      <c r="AH144" s="121">
        <f>COUNTA(AH128:AH143)</f>
        <v>10</v>
      </c>
      <c r="AI144" s="122">
        <f>IF(AH144&lt;=$U$45,1,AH144/$U$45)</f>
        <v>1</v>
      </c>
      <c r="AK144" s="118">
        <v>44284</v>
      </c>
      <c r="AL144" s="79">
        <v>1</v>
      </c>
      <c r="AM144" s="149"/>
      <c r="AO144" s="152">
        <v>44289</v>
      </c>
      <c r="AP144" s="37"/>
      <c r="AQ144" s="118"/>
      <c r="AS144" s="152">
        <v>44289</v>
      </c>
      <c r="AT144" s="37"/>
      <c r="AU144" s="118"/>
      <c r="AW144" s="152">
        <v>44289</v>
      </c>
      <c r="AX144" s="37"/>
      <c r="AY144" s="118"/>
      <c r="BA144" s="152">
        <v>44289</v>
      </c>
      <c r="BB144" s="37"/>
      <c r="BC144" s="118"/>
      <c r="BE144" s="152">
        <v>44289</v>
      </c>
      <c r="BF144" s="37"/>
      <c r="BG144" s="118"/>
      <c r="BI144" s="152">
        <v>44289</v>
      </c>
      <c r="BJ144" s="37"/>
      <c r="BK144" s="118"/>
      <c r="BM144" s="152">
        <v>44289</v>
      </c>
      <c r="BN144" s="37"/>
      <c r="BO144" s="118"/>
      <c r="BQ144" s="152">
        <v>44289</v>
      </c>
      <c r="BR144" s="37"/>
      <c r="BS144" s="118"/>
      <c r="BU144" s="152">
        <v>44289</v>
      </c>
      <c r="BV144" s="37"/>
      <c r="BW144" s="118"/>
      <c r="BY144" s="152">
        <v>44289</v>
      </c>
      <c r="BZ144" s="37"/>
      <c r="CA144" s="118"/>
    </row>
    <row r="145" spans="1:79">
      <c r="A145" s="129">
        <v>44289</v>
      </c>
      <c r="B145" s="37"/>
      <c r="C145" s="118"/>
      <c r="E145" s="119">
        <v>44287</v>
      </c>
      <c r="G145" s="118"/>
      <c r="I145" s="118">
        <v>44285</v>
      </c>
      <c r="J145" s="79">
        <v>2</v>
      </c>
      <c r="K145" s="79"/>
      <c r="L145" s="37"/>
      <c r="M145" s="37"/>
      <c r="N145" s="117">
        <v>44283</v>
      </c>
      <c r="O145" s="37"/>
      <c r="P145" s="37"/>
      <c r="R145" s="37"/>
      <c r="S145" s="130"/>
      <c r="U145" s="152">
        <v>44289</v>
      </c>
      <c r="V145" s="37"/>
      <c r="W145" s="79"/>
      <c r="Y145" s="117">
        <v>44289</v>
      </c>
      <c r="Z145" s="37"/>
      <c r="AA145" s="79"/>
      <c r="AC145" s="119">
        <v>44288</v>
      </c>
      <c r="AE145" s="80"/>
      <c r="AG145" s="80">
        <v>44286</v>
      </c>
      <c r="AH145" s="120">
        <v>1</v>
      </c>
      <c r="AI145" s="80"/>
      <c r="AK145" s="119">
        <v>44285</v>
      </c>
      <c r="AL145" s="79">
        <v>2</v>
      </c>
      <c r="AM145" s="149"/>
      <c r="AO145" s="152">
        <v>44290</v>
      </c>
      <c r="AP145" s="37"/>
      <c r="AQ145" s="118"/>
      <c r="AS145" s="152">
        <v>44290</v>
      </c>
      <c r="AT145" s="37"/>
      <c r="AU145" s="118"/>
      <c r="AW145" s="152">
        <v>44290</v>
      </c>
      <c r="AX145" s="37"/>
      <c r="AY145" s="118"/>
      <c r="BA145" s="152">
        <v>44290</v>
      </c>
      <c r="BB145" s="37"/>
      <c r="BC145" s="118"/>
      <c r="BE145" s="152">
        <v>44290</v>
      </c>
      <c r="BF145" s="37"/>
      <c r="BG145" s="118"/>
      <c r="BI145" s="152">
        <v>44290</v>
      </c>
      <c r="BJ145" s="37"/>
      <c r="BK145" s="118"/>
      <c r="BM145" s="152">
        <v>44290</v>
      </c>
      <c r="BN145" s="37"/>
      <c r="BO145" s="118"/>
      <c r="BQ145" s="152">
        <v>44290</v>
      </c>
      <c r="BR145" s="37"/>
      <c r="BS145" s="118"/>
      <c r="BU145" s="152">
        <v>44290</v>
      </c>
      <c r="BV145" s="37"/>
      <c r="BW145" s="118"/>
      <c r="BY145" s="152">
        <v>44290</v>
      </c>
      <c r="BZ145" s="37"/>
      <c r="CA145" s="118"/>
    </row>
    <row r="146" spans="1:79">
      <c r="A146" s="129">
        <v>44290</v>
      </c>
      <c r="B146" s="37"/>
      <c r="C146" s="118"/>
      <c r="E146" s="119">
        <v>44288</v>
      </c>
      <c r="G146" s="118"/>
      <c r="I146" s="118">
        <v>44286</v>
      </c>
      <c r="J146" s="79">
        <v>3</v>
      </c>
      <c r="K146" s="79"/>
      <c r="L146" s="122"/>
      <c r="M146" s="122"/>
      <c r="N146" s="118">
        <v>44284</v>
      </c>
      <c r="O146" s="79">
        <v>1</v>
      </c>
      <c r="P146" s="79">
        <v>1</v>
      </c>
      <c r="R146" s="121">
        <f>COUNTA(R115:R145)</f>
        <v>16</v>
      </c>
      <c r="S146" s="137">
        <f>IF(R146&lt;=$A$45,1,R146/$A$45)</f>
        <v>2.6666666666666665</v>
      </c>
      <c r="U146" s="152">
        <v>44290</v>
      </c>
      <c r="V146" s="37"/>
      <c r="W146" s="79"/>
      <c r="X146" s="72"/>
      <c r="Y146" s="117">
        <v>44290</v>
      </c>
      <c r="Z146" s="37"/>
      <c r="AA146" s="79"/>
      <c r="AC146" s="117">
        <v>44289</v>
      </c>
      <c r="AD146" s="37"/>
      <c r="AE146" s="80"/>
      <c r="AG146" s="80">
        <v>44287</v>
      </c>
      <c r="AH146" s="120">
        <v>2</v>
      </c>
      <c r="AI146" s="80"/>
      <c r="AK146" s="119">
        <v>44286</v>
      </c>
      <c r="AL146" s="146">
        <v>3</v>
      </c>
      <c r="AM146" s="162"/>
      <c r="AO146" s="152">
        <v>44291</v>
      </c>
      <c r="AP146" s="37"/>
      <c r="AQ146" s="118"/>
      <c r="AS146" s="152">
        <v>44291</v>
      </c>
      <c r="AT146" s="37"/>
      <c r="AU146" s="118"/>
      <c r="AW146" s="152">
        <v>44291</v>
      </c>
      <c r="AX146" s="37"/>
      <c r="AY146" s="118"/>
      <c r="BA146" s="152">
        <v>44291</v>
      </c>
      <c r="BB146" s="37"/>
      <c r="BC146" s="118"/>
      <c r="BE146" s="152">
        <v>44291</v>
      </c>
      <c r="BF146" s="37"/>
      <c r="BG146" s="118"/>
      <c r="BI146" s="152">
        <v>44291</v>
      </c>
      <c r="BJ146" s="37"/>
      <c r="BK146" s="118"/>
      <c r="BM146" s="152">
        <v>44291</v>
      </c>
      <c r="BN146" s="37"/>
      <c r="BO146" s="118"/>
      <c r="BQ146" s="152">
        <v>44291</v>
      </c>
      <c r="BR146" s="37"/>
      <c r="BS146" s="118"/>
      <c r="BU146" s="152">
        <v>44291</v>
      </c>
      <c r="BV146" s="37"/>
      <c r="BW146" s="118"/>
      <c r="BY146" s="152">
        <v>44291</v>
      </c>
      <c r="BZ146" s="37"/>
      <c r="CA146" s="118"/>
    </row>
    <row r="147" spans="1:79">
      <c r="A147" s="129">
        <v>44291</v>
      </c>
      <c r="B147" s="37"/>
      <c r="C147" s="118"/>
      <c r="E147" s="117">
        <v>44289</v>
      </c>
      <c r="F147" s="37"/>
      <c r="G147" s="118"/>
      <c r="I147" s="119">
        <v>44287</v>
      </c>
      <c r="K147" s="79"/>
      <c r="L147" s="37"/>
      <c r="M147" s="37"/>
      <c r="N147" s="118">
        <v>44285</v>
      </c>
      <c r="O147" s="79">
        <v>2</v>
      </c>
      <c r="P147" s="79">
        <v>2</v>
      </c>
      <c r="R147" s="37"/>
      <c r="S147" s="130"/>
      <c r="U147" s="152">
        <v>44291</v>
      </c>
      <c r="V147" s="37"/>
      <c r="W147" s="79"/>
      <c r="Y147" s="117">
        <v>44291</v>
      </c>
      <c r="Z147" s="37"/>
      <c r="AA147" s="79"/>
      <c r="AC147" s="117">
        <v>44290</v>
      </c>
      <c r="AD147" s="37"/>
      <c r="AE147" s="80"/>
      <c r="AG147" s="119">
        <v>44288</v>
      </c>
      <c r="AI147" s="80"/>
      <c r="AK147" s="119">
        <v>44287</v>
      </c>
      <c r="AL147" s="146">
        <v>4</v>
      </c>
      <c r="AM147" s="162"/>
      <c r="AO147" s="154">
        <v>44292</v>
      </c>
      <c r="AP147" s="79">
        <v>14</v>
      </c>
      <c r="AQ147" s="118"/>
      <c r="AR147" s="72"/>
      <c r="AS147" s="154">
        <v>44292</v>
      </c>
      <c r="AT147" s="79">
        <v>27</v>
      </c>
      <c r="AU147" s="118"/>
      <c r="AW147" s="154">
        <v>44292</v>
      </c>
      <c r="AX147" s="79">
        <v>40</v>
      </c>
      <c r="AY147" s="118"/>
      <c r="BA147" s="154">
        <v>44292</v>
      </c>
      <c r="BB147" s="79">
        <v>53</v>
      </c>
      <c r="BC147" s="118"/>
      <c r="BE147" s="154">
        <v>44292</v>
      </c>
      <c r="BF147" s="79">
        <v>66</v>
      </c>
      <c r="BG147" s="118"/>
      <c r="BI147" s="154">
        <v>44292</v>
      </c>
      <c r="BJ147" s="79">
        <v>14</v>
      </c>
      <c r="BK147" s="118"/>
      <c r="BL147" s="72"/>
      <c r="BM147" s="154">
        <v>44292</v>
      </c>
      <c r="BN147" s="79">
        <v>27</v>
      </c>
      <c r="BO147" s="118"/>
      <c r="BQ147" s="154">
        <v>44292</v>
      </c>
      <c r="BR147" s="79">
        <v>40</v>
      </c>
      <c r="BS147" s="118"/>
      <c r="BU147" s="154">
        <v>44292</v>
      </c>
      <c r="BV147" s="79">
        <v>53</v>
      </c>
      <c r="BW147" s="118"/>
      <c r="BY147" s="154">
        <v>44292</v>
      </c>
      <c r="BZ147" s="79">
        <v>66</v>
      </c>
      <c r="CA147" s="118"/>
    </row>
    <row r="148" spans="1:79">
      <c r="A148" s="131">
        <v>44292</v>
      </c>
      <c r="B148" s="79">
        <v>5</v>
      </c>
      <c r="C148" s="118"/>
      <c r="E148" s="117">
        <v>44290</v>
      </c>
      <c r="F148" s="37"/>
      <c r="G148" s="118"/>
      <c r="I148" s="119">
        <v>44288</v>
      </c>
      <c r="K148" s="79"/>
      <c r="L148" s="37"/>
      <c r="M148" s="37"/>
      <c r="N148" s="118">
        <v>44286</v>
      </c>
      <c r="O148" s="79">
        <v>3</v>
      </c>
      <c r="P148" s="79">
        <v>3</v>
      </c>
      <c r="R148" s="37"/>
      <c r="S148" s="130"/>
      <c r="U148" s="154">
        <v>44292</v>
      </c>
      <c r="V148" s="79">
        <v>5</v>
      </c>
      <c r="W148" s="79"/>
      <c r="Y148" s="118">
        <v>44292</v>
      </c>
      <c r="Z148" s="79">
        <v>9</v>
      </c>
      <c r="AA148" s="79"/>
      <c r="AC148" s="117">
        <v>44291</v>
      </c>
      <c r="AD148" s="37"/>
      <c r="AE148" s="80"/>
      <c r="AG148" s="117">
        <v>44289</v>
      </c>
      <c r="AH148" s="37"/>
      <c r="AI148" s="80"/>
      <c r="AK148" s="119">
        <v>44288</v>
      </c>
      <c r="AL148">
        <v>5</v>
      </c>
      <c r="AM148" s="162"/>
      <c r="AO148" s="156">
        <v>44293</v>
      </c>
      <c r="AQ148" s="118"/>
      <c r="AS148" s="156">
        <v>44293</v>
      </c>
      <c r="AT148">
        <v>28</v>
      </c>
      <c r="AU148" s="118"/>
      <c r="AW148" s="156">
        <v>44293</v>
      </c>
      <c r="AX148">
        <v>41</v>
      </c>
      <c r="AY148" s="118"/>
      <c r="BA148" s="156">
        <v>44293</v>
      </c>
      <c r="BB148" s="79">
        <v>54</v>
      </c>
      <c r="BC148" s="118"/>
      <c r="BE148" s="156">
        <v>44293</v>
      </c>
      <c r="BF148" s="79">
        <v>67</v>
      </c>
      <c r="BG148" s="118"/>
      <c r="BI148" s="156">
        <v>44293</v>
      </c>
      <c r="BK148" s="118"/>
      <c r="BM148" s="156">
        <v>44293</v>
      </c>
      <c r="BN148">
        <v>28</v>
      </c>
      <c r="BO148" s="118"/>
      <c r="BQ148" s="156">
        <v>44293</v>
      </c>
      <c r="BR148">
        <v>41</v>
      </c>
      <c r="BS148" s="118"/>
      <c r="BU148" s="156">
        <v>44293</v>
      </c>
      <c r="BV148" s="79">
        <v>54</v>
      </c>
      <c r="BW148" s="118"/>
      <c r="BY148" s="156">
        <v>44293</v>
      </c>
      <c r="BZ148" s="79">
        <v>67</v>
      </c>
      <c r="CA148" s="118"/>
    </row>
    <row r="149" spans="1:79">
      <c r="A149" s="133">
        <v>44293</v>
      </c>
      <c r="C149" s="118"/>
      <c r="E149" s="117">
        <v>44291</v>
      </c>
      <c r="F149" s="37"/>
      <c r="G149" s="118"/>
      <c r="H149" s="119"/>
      <c r="I149" s="117">
        <v>44289</v>
      </c>
      <c r="J149" s="37"/>
      <c r="K149" s="79"/>
      <c r="N149" s="118">
        <v>44287</v>
      </c>
      <c r="O149" s="79">
        <v>4</v>
      </c>
      <c r="P149" s="79">
        <v>4</v>
      </c>
      <c r="Q149" s="119"/>
      <c r="R149" s="79">
        <v>6</v>
      </c>
      <c r="S149" s="134"/>
      <c r="U149" s="156">
        <v>44293</v>
      </c>
      <c r="W149" s="118"/>
      <c r="Y149" s="119">
        <v>44293</v>
      </c>
      <c r="AA149" s="79"/>
      <c r="AC149" s="121" t="s">
        <v>85</v>
      </c>
      <c r="AD149" s="121">
        <f>COUNTA(AD127:AD148)</f>
        <v>9</v>
      </c>
      <c r="AE149" s="122">
        <f>IF(AD149&lt;=$U$45,1,AD149/$U$45)</f>
        <v>1</v>
      </c>
      <c r="AG149" s="117">
        <v>44290</v>
      </c>
      <c r="AH149" s="37"/>
      <c r="AI149" s="80"/>
      <c r="AK149" s="117">
        <v>44289</v>
      </c>
      <c r="AL149" s="37"/>
      <c r="AM149" s="162"/>
      <c r="AO149" s="156">
        <v>44294</v>
      </c>
      <c r="AQ149" s="118"/>
      <c r="AS149" s="156">
        <v>44294</v>
      </c>
      <c r="AU149" s="118"/>
      <c r="AW149" s="156">
        <v>44294</v>
      </c>
      <c r="AX149">
        <v>42</v>
      </c>
      <c r="AY149" s="118"/>
      <c r="BA149" s="156">
        <v>44294</v>
      </c>
      <c r="BB149" s="79">
        <v>55</v>
      </c>
      <c r="BC149" s="118"/>
      <c r="BE149" s="156">
        <v>44294</v>
      </c>
      <c r="BF149" s="79">
        <v>68</v>
      </c>
      <c r="BG149" s="118"/>
      <c r="BI149" s="156">
        <v>44294</v>
      </c>
      <c r="BK149" s="118"/>
      <c r="BM149" s="156">
        <v>44294</v>
      </c>
      <c r="BO149" s="118"/>
      <c r="BQ149" s="156">
        <v>44294</v>
      </c>
      <c r="BR149">
        <v>42</v>
      </c>
      <c r="BS149" s="118"/>
      <c r="BU149" s="156">
        <v>44294</v>
      </c>
      <c r="BV149" s="79">
        <v>55</v>
      </c>
      <c r="BW149" s="118"/>
      <c r="BY149" s="156">
        <v>44294</v>
      </c>
      <c r="BZ149" s="79">
        <v>68</v>
      </c>
      <c r="CA149" s="118"/>
    </row>
    <row r="150" spans="1:79">
      <c r="A150" s="136" t="s">
        <v>85</v>
      </c>
      <c r="B150" s="121">
        <f>COUNTA(B119:B149)</f>
        <v>5</v>
      </c>
      <c r="C150" s="122">
        <f>IF(B150&lt;=$A$45,1,B150/$A$45)</f>
        <v>1</v>
      </c>
      <c r="D150" s="72"/>
      <c r="E150" s="118">
        <v>44292</v>
      </c>
      <c r="F150" s="79">
        <v>3</v>
      </c>
      <c r="G150" s="118"/>
      <c r="H150" s="72"/>
      <c r="I150" s="117">
        <v>44290</v>
      </c>
      <c r="J150" s="37"/>
      <c r="K150" s="79"/>
      <c r="N150" s="119">
        <v>44288</v>
      </c>
      <c r="Q150" s="72"/>
      <c r="R150" s="120">
        <v>1</v>
      </c>
      <c r="S150" s="135"/>
      <c r="U150" s="160" t="s">
        <v>85</v>
      </c>
      <c r="V150" s="121">
        <f>COUNTA(V119:V149)</f>
        <v>6</v>
      </c>
      <c r="W150" s="122">
        <f>IF(V150&lt;=$U$45,1,V150/$U$45)</f>
        <v>1</v>
      </c>
      <c r="X150" s="119"/>
      <c r="Y150" s="121" t="s">
        <v>85</v>
      </c>
      <c r="Z150" s="121">
        <f>COUNTA(Z119:Z149)</f>
        <v>9</v>
      </c>
      <c r="AA150" s="122">
        <f>IF(Z150&lt;=$U$45,1,Z150/$U$45)</f>
        <v>1</v>
      </c>
      <c r="AC150" s="119">
        <v>44292</v>
      </c>
      <c r="AD150" s="79">
        <v>1</v>
      </c>
      <c r="AE150" s="79"/>
      <c r="AG150" s="117">
        <v>44291</v>
      </c>
      <c r="AH150" s="37"/>
      <c r="AI150" s="80"/>
      <c r="AK150" s="117">
        <v>44290</v>
      </c>
      <c r="AL150" s="37"/>
      <c r="AM150" s="162"/>
      <c r="AO150" s="156">
        <v>44295</v>
      </c>
      <c r="AQ150" s="118"/>
      <c r="AS150" s="156">
        <v>44295</v>
      </c>
      <c r="AU150" s="118"/>
      <c r="AW150" s="156">
        <v>44295</v>
      </c>
      <c r="AY150" s="118"/>
      <c r="BA150" s="156">
        <v>44295</v>
      </c>
      <c r="BB150" s="79">
        <v>56</v>
      </c>
      <c r="BC150" s="118"/>
      <c r="BE150" s="156">
        <v>44295</v>
      </c>
      <c r="BF150" s="79">
        <v>69</v>
      </c>
      <c r="BG150" s="118"/>
      <c r="BI150" s="156">
        <v>44295</v>
      </c>
      <c r="BK150" s="118"/>
      <c r="BM150" s="156">
        <v>44295</v>
      </c>
      <c r="BO150" s="118"/>
      <c r="BQ150" s="156">
        <v>44295</v>
      </c>
      <c r="BS150" s="118"/>
      <c r="BU150" s="156">
        <v>44295</v>
      </c>
      <c r="BV150" s="79">
        <v>56</v>
      </c>
      <c r="BW150" s="118"/>
      <c r="BY150" s="156">
        <v>44295</v>
      </c>
      <c r="BZ150" s="79">
        <v>69</v>
      </c>
      <c r="CA150" s="118"/>
    </row>
    <row r="151" spans="1:79">
      <c r="A151" s="133">
        <v>44294</v>
      </c>
      <c r="E151" s="118">
        <v>44293</v>
      </c>
      <c r="F151" s="79">
        <v>4</v>
      </c>
      <c r="G151" s="118"/>
      <c r="I151" s="117">
        <v>44291</v>
      </c>
      <c r="J151" s="37"/>
      <c r="K151" s="79"/>
      <c r="N151" s="117">
        <v>44289</v>
      </c>
      <c r="O151" s="37"/>
      <c r="P151" s="37"/>
      <c r="R151" s="120">
        <v>2</v>
      </c>
      <c r="S151" s="125"/>
      <c r="U151" s="156">
        <v>44294</v>
      </c>
      <c r="Y151" s="119">
        <v>44294</v>
      </c>
      <c r="AA151" s="119"/>
      <c r="AC151" s="119">
        <v>44293</v>
      </c>
      <c r="AD151" s="79">
        <v>2</v>
      </c>
      <c r="AE151" s="79"/>
      <c r="AG151" s="80">
        <v>44292</v>
      </c>
      <c r="AH151" s="120">
        <v>3</v>
      </c>
      <c r="AI151" s="80"/>
      <c r="AK151" s="117">
        <v>44291</v>
      </c>
      <c r="AL151" s="37"/>
      <c r="AM151" s="162"/>
      <c r="AO151" s="152">
        <v>44296</v>
      </c>
      <c r="AP151" s="37"/>
      <c r="AQ151" s="118"/>
      <c r="AR151" s="119"/>
      <c r="AS151" s="152">
        <v>44296</v>
      </c>
      <c r="AT151" s="37"/>
      <c r="AU151" s="118"/>
      <c r="AW151" s="152">
        <v>44296</v>
      </c>
      <c r="AX151" s="37"/>
      <c r="AY151" s="118"/>
      <c r="BA151" s="152">
        <v>44296</v>
      </c>
      <c r="BB151" s="37"/>
      <c r="BC151" s="118"/>
      <c r="BE151" s="152">
        <v>44296</v>
      </c>
      <c r="BF151" s="37"/>
      <c r="BG151" s="118"/>
      <c r="BI151" s="152">
        <v>44296</v>
      </c>
      <c r="BJ151" s="37"/>
      <c r="BK151" s="118"/>
      <c r="BL151" s="119"/>
      <c r="BM151" s="152">
        <v>44296</v>
      </c>
      <c r="BN151" s="37"/>
      <c r="BO151" s="118"/>
      <c r="BQ151" s="152">
        <v>44296</v>
      </c>
      <c r="BR151" s="37"/>
      <c r="BS151" s="118"/>
      <c r="BU151" s="152">
        <v>44296</v>
      </c>
      <c r="BV151" s="37"/>
      <c r="BW151" s="118"/>
      <c r="BY151" s="152">
        <v>44296</v>
      </c>
      <c r="BZ151" s="37"/>
      <c r="CA151" s="118"/>
    </row>
    <row r="152" spans="1:79">
      <c r="A152" s="133">
        <v>44295</v>
      </c>
      <c r="E152" s="119">
        <v>44294</v>
      </c>
      <c r="G152" s="118"/>
      <c r="I152" s="118">
        <v>44292</v>
      </c>
      <c r="J152" s="79">
        <v>4</v>
      </c>
      <c r="K152" s="79"/>
      <c r="N152" s="117">
        <v>44290</v>
      </c>
      <c r="O152" s="37"/>
      <c r="P152" s="37"/>
      <c r="R152" s="120">
        <v>3</v>
      </c>
      <c r="S152" s="125"/>
      <c r="U152" s="156">
        <v>44295</v>
      </c>
      <c r="Y152" s="119">
        <v>44295</v>
      </c>
      <c r="AC152" s="119">
        <v>44294</v>
      </c>
      <c r="AD152" s="79">
        <v>3</v>
      </c>
      <c r="AE152" s="79"/>
      <c r="AG152" s="80">
        <v>44293</v>
      </c>
      <c r="AH152" s="120">
        <v>4</v>
      </c>
      <c r="AI152" s="80"/>
      <c r="AK152" s="118">
        <v>44292</v>
      </c>
      <c r="AL152" s="146">
        <v>6</v>
      </c>
      <c r="AM152" s="162"/>
      <c r="AO152" s="152">
        <v>44297</v>
      </c>
      <c r="AP152" s="37"/>
      <c r="AQ152" s="118"/>
      <c r="AS152" s="152">
        <v>44297</v>
      </c>
      <c r="AT152" s="37"/>
      <c r="AU152" s="118"/>
      <c r="AW152" s="152">
        <v>44297</v>
      </c>
      <c r="AX152" s="37"/>
      <c r="AY152" s="118"/>
      <c r="BA152" s="152">
        <v>44297</v>
      </c>
      <c r="BB152" s="37"/>
      <c r="BC152" s="118"/>
      <c r="BE152" s="152">
        <v>44297</v>
      </c>
      <c r="BF152" s="37"/>
      <c r="BG152" s="118"/>
      <c r="BI152" s="152">
        <v>44297</v>
      </c>
      <c r="BJ152" s="37"/>
      <c r="BK152" s="118"/>
      <c r="BM152" s="152">
        <v>44297</v>
      </c>
      <c r="BN152" s="37"/>
      <c r="BO152" s="118"/>
      <c r="BQ152" s="152">
        <v>44297</v>
      </c>
      <c r="BR152" s="37"/>
      <c r="BS152" s="118"/>
      <c r="BU152" s="152">
        <v>44297</v>
      </c>
      <c r="BV152" s="37"/>
      <c r="BW152" s="118"/>
      <c r="BY152" s="152">
        <v>44297</v>
      </c>
      <c r="BZ152" s="37"/>
      <c r="CA152" s="118"/>
    </row>
    <row r="153" spans="1:79">
      <c r="A153" s="129">
        <v>44296</v>
      </c>
      <c r="B153" s="37"/>
      <c r="C153" s="37"/>
      <c r="E153" s="119">
        <v>44295</v>
      </c>
      <c r="G153" s="118"/>
      <c r="I153" s="118">
        <v>44293</v>
      </c>
      <c r="J153" s="79">
        <v>5</v>
      </c>
      <c r="K153" s="79"/>
      <c r="L153" s="37"/>
      <c r="M153" s="37"/>
      <c r="N153" s="117">
        <v>44291</v>
      </c>
      <c r="O153" s="37"/>
      <c r="P153" s="37"/>
      <c r="R153" s="37"/>
      <c r="S153" s="130"/>
      <c r="U153" s="152">
        <v>44296</v>
      </c>
      <c r="V153" s="37"/>
      <c r="Y153" s="117">
        <v>44296</v>
      </c>
      <c r="Z153" s="37"/>
      <c r="AA153" s="37"/>
      <c r="AC153" s="119">
        <v>44295</v>
      </c>
      <c r="AE153" s="79"/>
      <c r="AG153" s="80">
        <v>44294</v>
      </c>
      <c r="AH153" s="120">
        <v>5</v>
      </c>
      <c r="AI153" s="80"/>
      <c r="AK153" s="119">
        <v>44293</v>
      </c>
      <c r="AL153" s="146">
        <v>7</v>
      </c>
      <c r="AM153" s="162"/>
      <c r="AO153" s="154">
        <v>44298</v>
      </c>
      <c r="AP153" s="79">
        <v>15</v>
      </c>
      <c r="AQ153" s="118"/>
      <c r="AS153" s="154">
        <v>44298</v>
      </c>
      <c r="AT153" s="79">
        <v>29</v>
      </c>
      <c r="AU153" s="118"/>
      <c r="AW153" s="154">
        <v>44298</v>
      </c>
      <c r="AX153" s="79">
        <v>43</v>
      </c>
      <c r="AY153" s="118"/>
      <c r="BA153" s="154">
        <v>44298</v>
      </c>
      <c r="BB153" s="79">
        <v>57</v>
      </c>
      <c r="BC153" s="118"/>
      <c r="BE153" s="154">
        <v>44298</v>
      </c>
      <c r="BF153" s="79">
        <v>70</v>
      </c>
      <c r="BG153" s="118"/>
      <c r="BI153" s="154">
        <v>44298</v>
      </c>
      <c r="BJ153" s="79">
        <v>15</v>
      </c>
      <c r="BK153" s="118"/>
      <c r="BM153" s="154">
        <v>44298</v>
      </c>
      <c r="BN153" s="79">
        <v>29</v>
      </c>
      <c r="BO153" s="118"/>
      <c r="BQ153" s="154">
        <v>44298</v>
      </c>
      <c r="BR153" s="79">
        <v>43</v>
      </c>
      <c r="BS153" s="118"/>
      <c r="BU153" s="154">
        <v>44298</v>
      </c>
      <c r="BV153" s="79">
        <v>57</v>
      </c>
      <c r="BW153" s="118"/>
      <c r="BY153" s="154">
        <v>44298</v>
      </c>
      <c r="BZ153" s="79">
        <v>70</v>
      </c>
      <c r="CA153" s="118"/>
    </row>
    <row r="154" spans="1:79">
      <c r="A154" s="129">
        <v>44297</v>
      </c>
      <c r="B154" s="37"/>
      <c r="C154" s="37"/>
      <c r="E154" s="117">
        <v>44296</v>
      </c>
      <c r="F154" s="37"/>
      <c r="G154" s="118"/>
      <c r="I154" s="118">
        <v>44294</v>
      </c>
      <c r="J154" s="79">
        <v>6</v>
      </c>
      <c r="K154" s="79"/>
      <c r="L154" s="37"/>
      <c r="M154" s="37"/>
      <c r="N154" s="118">
        <v>44292</v>
      </c>
      <c r="O154" s="79">
        <v>5</v>
      </c>
      <c r="P154" s="79">
        <v>1</v>
      </c>
      <c r="R154" s="37"/>
      <c r="S154" s="130"/>
      <c r="U154" s="152">
        <v>44297</v>
      </c>
      <c r="V154" s="37"/>
      <c r="Y154" s="119">
        <v>44297</v>
      </c>
      <c r="Z154" s="37"/>
      <c r="AA154" s="37"/>
      <c r="AC154" s="117">
        <v>44296</v>
      </c>
      <c r="AD154" s="37"/>
      <c r="AE154" s="79"/>
      <c r="AG154" s="80">
        <v>44295</v>
      </c>
      <c r="AH154" s="120">
        <v>6</v>
      </c>
      <c r="AI154" s="80"/>
      <c r="AK154" s="119">
        <v>44294</v>
      </c>
      <c r="AL154" s="146">
        <v>8</v>
      </c>
      <c r="AM154" s="162"/>
      <c r="AO154" s="156">
        <v>44299</v>
      </c>
      <c r="AQ154" s="118"/>
      <c r="AS154" s="156">
        <v>44299</v>
      </c>
      <c r="AT154">
        <v>30</v>
      </c>
      <c r="AU154" s="118"/>
      <c r="AW154" s="156">
        <v>44299</v>
      </c>
      <c r="AX154">
        <v>44</v>
      </c>
      <c r="AY154" s="118"/>
      <c r="BA154" s="156">
        <v>44299</v>
      </c>
      <c r="BB154" s="79">
        <v>58</v>
      </c>
      <c r="BC154" s="118"/>
      <c r="BE154" s="156">
        <v>44299</v>
      </c>
      <c r="BF154" s="79">
        <v>71</v>
      </c>
      <c r="BG154" s="118"/>
      <c r="BI154" s="156">
        <v>44299</v>
      </c>
      <c r="BK154" s="118"/>
      <c r="BM154" s="156">
        <v>44299</v>
      </c>
      <c r="BN154">
        <v>30</v>
      </c>
      <c r="BO154" s="118"/>
      <c r="BQ154" s="156">
        <v>44299</v>
      </c>
      <c r="BR154">
        <v>44</v>
      </c>
      <c r="BS154" s="118"/>
      <c r="BU154" s="156">
        <v>44299</v>
      </c>
      <c r="BV154" s="79">
        <v>58</v>
      </c>
      <c r="BW154" s="118"/>
      <c r="BY154" s="156">
        <v>44299</v>
      </c>
      <c r="BZ154" s="79">
        <v>71</v>
      </c>
      <c r="CA154" s="118"/>
    </row>
    <row r="155" spans="1:79">
      <c r="A155" s="138">
        <v>44298</v>
      </c>
      <c r="B155" s="120">
        <v>1</v>
      </c>
      <c r="C155" s="80">
        <f>EDATE($A155,1)-1</f>
        <v>44327</v>
      </c>
      <c r="D155" s="119"/>
      <c r="E155" s="117">
        <v>44297</v>
      </c>
      <c r="F155" s="37"/>
      <c r="G155" s="118"/>
      <c r="H155" s="119"/>
      <c r="I155" s="121" t="s">
        <v>85</v>
      </c>
      <c r="J155" s="121">
        <f>COUNTA(J144:J154)</f>
        <v>6</v>
      </c>
      <c r="K155" s="122">
        <f>IF(J155&lt;=$A$45,1,J155/$A$45)</f>
        <v>1</v>
      </c>
      <c r="L155" s="119"/>
      <c r="M155" s="119"/>
      <c r="N155" s="118">
        <v>44293</v>
      </c>
      <c r="O155" s="79">
        <v>6</v>
      </c>
      <c r="P155" s="79">
        <v>2</v>
      </c>
      <c r="Q155" s="119"/>
      <c r="R155" s="120">
        <v>4</v>
      </c>
      <c r="S155" s="125"/>
      <c r="U155" s="161">
        <v>44298</v>
      </c>
      <c r="V155" s="120">
        <v>1</v>
      </c>
      <c r="W155" s="80">
        <f>EDATE($U155,1)-$W$49</f>
        <v>44327</v>
      </c>
      <c r="X155" s="119"/>
      <c r="Y155" s="80">
        <v>44298</v>
      </c>
      <c r="Z155" s="120">
        <v>1</v>
      </c>
      <c r="AA155" s="80">
        <f>EDATE(U155,1)-1</f>
        <v>44327</v>
      </c>
      <c r="AC155" s="117">
        <v>44297</v>
      </c>
      <c r="AD155" s="37"/>
      <c r="AE155" s="79"/>
      <c r="AG155" s="117">
        <v>44296</v>
      </c>
      <c r="AH155" s="37"/>
      <c r="AI155" s="80"/>
      <c r="AK155" s="119">
        <v>44295</v>
      </c>
      <c r="AL155" s="146">
        <v>9</v>
      </c>
      <c r="AM155" s="162"/>
      <c r="AO155" s="156">
        <v>44300</v>
      </c>
      <c r="AQ155" s="118"/>
      <c r="AS155" s="156">
        <v>44300</v>
      </c>
      <c r="AU155" s="118"/>
      <c r="AW155" s="156">
        <v>44300</v>
      </c>
      <c r="AX155">
        <v>45</v>
      </c>
      <c r="AY155" s="118"/>
      <c r="BA155" s="156">
        <v>44300</v>
      </c>
      <c r="BB155" s="79">
        <v>59</v>
      </c>
      <c r="BC155" s="118"/>
      <c r="BE155" s="156">
        <v>44300</v>
      </c>
      <c r="BF155" s="79">
        <v>72</v>
      </c>
      <c r="BG155" s="118"/>
      <c r="BI155" s="156">
        <v>44300</v>
      </c>
      <c r="BK155" s="118"/>
      <c r="BM155" s="156">
        <v>44300</v>
      </c>
      <c r="BO155" s="118"/>
      <c r="BQ155" s="156">
        <v>44300</v>
      </c>
      <c r="BR155">
        <v>45</v>
      </c>
      <c r="BS155" s="118"/>
      <c r="BU155" s="156">
        <v>44300</v>
      </c>
      <c r="BV155" s="79">
        <v>59</v>
      </c>
      <c r="BW155" s="118"/>
      <c r="BY155" s="156">
        <v>44300</v>
      </c>
      <c r="BZ155" s="79">
        <v>72</v>
      </c>
      <c r="CA155" s="118"/>
    </row>
    <row r="156" spans="1:79">
      <c r="A156" s="133">
        <v>44299</v>
      </c>
      <c r="C156" s="80"/>
      <c r="E156" s="118">
        <v>44298</v>
      </c>
      <c r="F156" s="79">
        <v>5</v>
      </c>
      <c r="G156" s="118"/>
      <c r="I156" s="119">
        <v>44295</v>
      </c>
      <c r="N156" s="121" t="s">
        <v>85</v>
      </c>
      <c r="O156" s="121">
        <f>COUNTA(O146:O155)</f>
        <v>6</v>
      </c>
      <c r="P156" s="122">
        <f>IF(O156&lt;=$A$45,1,O156/$A$45)</f>
        <v>1</v>
      </c>
      <c r="R156" s="120">
        <v>5</v>
      </c>
      <c r="S156" s="125"/>
      <c r="U156" s="156">
        <v>44299</v>
      </c>
      <c r="W156" s="80"/>
      <c r="Y156" s="80">
        <v>44299</v>
      </c>
      <c r="Z156" s="120">
        <v>2</v>
      </c>
      <c r="AA156" s="80"/>
      <c r="AC156" s="119">
        <v>44298</v>
      </c>
      <c r="AD156" s="79">
        <v>4</v>
      </c>
      <c r="AE156" s="79"/>
      <c r="AG156" s="117">
        <v>44297</v>
      </c>
      <c r="AH156" s="37"/>
      <c r="AI156" s="80"/>
      <c r="AK156" s="117">
        <v>44296</v>
      </c>
      <c r="AL156" s="37"/>
      <c r="AM156" s="162"/>
      <c r="AO156" s="156">
        <v>44301</v>
      </c>
      <c r="AQ156" s="118"/>
      <c r="AR156" s="119"/>
      <c r="AS156" s="156">
        <v>44301</v>
      </c>
      <c r="AU156" s="118"/>
      <c r="AW156" s="156">
        <v>44301</v>
      </c>
      <c r="AY156" s="118"/>
      <c r="BA156" s="156">
        <v>44301</v>
      </c>
      <c r="BB156" s="79">
        <v>60</v>
      </c>
      <c r="BC156" s="118"/>
      <c r="BE156" s="156">
        <v>44301</v>
      </c>
      <c r="BF156" s="79">
        <v>73</v>
      </c>
      <c r="BG156" s="118"/>
      <c r="BI156" s="156">
        <v>44301</v>
      </c>
      <c r="BK156" s="118"/>
      <c r="BL156" s="119"/>
      <c r="BM156" s="156">
        <v>44301</v>
      </c>
      <c r="BO156" s="118"/>
      <c r="BQ156" s="156">
        <v>44301</v>
      </c>
      <c r="BS156" s="118"/>
      <c r="BU156" s="156">
        <v>44301</v>
      </c>
      <c r="BV156" s="79">
        <v>60</v>
      </c>
      <c r="BW156" s="118"/>
      <c r="BY156" s="156">
        <v>44301</v>
      </c>
      <c r="BZ156" s="79">
        <v>73</v>
      </c>
      <c r="CA156" s="118"/>
    </row>
    <row r="157" spans="1:79">
      <c r="A157" s="133">
        <v>44300</v>
      </c>
      <c r="C157" s="80"/>
      <c r="E157" s="118">
        <v>44299</v>
      </c>
      <c r="F157" s="79">
        <v>6</v>
      </c>
      <c r="G157" s="118"/>
      <c r="I157" s="117">
        <v>44296</v>
      </c>
      <c r="J157" s="37"/>
      <c r="K157" s="37"/>
      <c r="N157" s="80">
        <v>44294</v>
      </c>
      <c r="O157" s="120">
        <v>1</v>
      </c>
      <c r="P157" s="120">
        <v>3</v>
      </c>
      <c r="R157" s="120">
        <v>6</v>
      </c>
      <c r="S157" s="125"/>
      <c r="U157" s="156">
        <v>44300</v>
      </c>
      <c r="W157" s="80"/>
      <c r="Y157" s="119">
        <v>44300</v>
      </c>
      <c r="AA157" s="80"/>
      <c r="AC157" s="119">
        <v>44299</v>
      </c>
      <c r="AD157" s="79">
        <v>5</v>
      </c>
      <c r="AE157" s="79"/>
      <c r="AG157" s="80">
        <v>44298</v>
      </c>
      <c r="AH157" s="120">
        <v>7</v>
      </c>
      <c r="AI157" s="80"/>
      <c r="AK157" s="117">
        <v>44297</v>
      </c>
      <c r="AL157" s="37"/>
      <c r="AM157" s="162"/>
      <c r="AO157" s="156">
        <v>44302</v>
      </c>
      <c r="AQ157" s="118"/>
      <c r="AS157" s="156">
        <v>44302</v>
      </c>
      <c r="AU157" s="118"/>
      <c r="AW157" s="156">
        <v>44302</v>
      </c>
      <c r="AY157" s="118"/>
      <c r="BA157" s="156">
        <v>44302</v>
      </c>
      <c r="BC157" s="118"/>
      <c r="BE157" s="156">
        <v>44302</v>
      </c>
      <c r="BF157" s="79">
        <v>74</v>
      </c>
      <c r="BG157" s="118"/>
      <c r="BI157" s="156">
        <v>44302</v>
      </c>
      <c r="BK157" s="118"/>
      <c r="BM157" s="156">
        <v>44302</v>
      </c>
      <c r="BO157" s="118"/>
      <c r="BQ157" s="156">
        <v>44302</v>
      </c>
      <c r="BS157" s="118"/>
      <c r="BU157" s="156">
        <v>44302</v>
      </c>
      <c r="BW157" s="118"/>
      <c r="BY157" s="156">
        <v>44302</v>
      </c>
      <c r="BZ157" s="79">
        <v>74</v>
      </c>
      <c r="CA157" s="118"/>
    </row>
    <row r="158" spans="1:79">
      <c r="A158" s="133">
        <v>44301</v>
      </c>
      <c r="C158" s="80"/>
      <c r="D158" s="119"/>
      <c r="E158" s="121" t="s">
        <v>85</v>
      </c>
      <c r="F158" s="121">
        <f>COUNTA(F142:F157)</f>
        <v>6</v>
      </c>
      <c r="G158" s="122">
        <f>IF(F158&lt;=$A$45,1,F158/$A$45)</f>
        <v>1</v>
      </c>
      <c r="H158" s="119"/>
      <c r="I158" s="117">
        <v>44297</v>
      </c>
      <c r="J158" s="37"/>
      <c r="K158" s="37"/>
      <c r="L158" s="119"/>
      <c r="M158" s="119"/>
      <c r="N158" s="80">
        <v>44295</v>
      </c>
      <c r="O158" s="120">
        <v>2</v>
      </c>
      <c r="P158" s="120">
        <v>4</v>
      </c>
      <c r="Q158" s="119"/>
      <c r="R158" s="79">
        <v>1</v>
      </c>
      <c r="S158" s="132"/>
      <c r="U158" s="156">
        <v>44301</v>
      </c>
      <c r="W158" s="80"/>
      <c r="X158" s="119"/>
      <c r="Y158" s="119">
        <v>44301</v>
      </c>
      <c r="AA158" s="80"/>
      <c r="AC158" s="119">
        <v>44300</v>
      </c>
      <c r="AD158" s="79">
        <v>6</v>
      </c>
      <c r="AE158" s="79"/>
      <c r="AG158" s="80">
        <v>44299</v>
      </c>
      <c r="AH158" s="120">
        <v>8</v>
      </c>
      <c r="AI158" s="80"/>
      <c r="AK158" s="118">
        <v>44298</v>
      </c>
      <c r="AL158" s="146">
        <v>10</v>
      </c>
      <c r="AM158" s="162"/>
      <c r="AO158" s="152">
        <v>44303</v>
      </c>
      <c r="AP158" s="37"/>
      <c r="AQ158" s="118"/>
      <c r="AS158" s="152">
        <v>44303</v>
      </c>
      <c r="AT158" s="37"/>
      <c r="AU158" s="118"/>
      <c r="AW158" s="152">
        <v>44303</v>
      </c>
      <c r="AX158" s="37"/>
      <c r="AY158" s="118"/>
      <c r="BA158" s="152">
        <v>44303</v>
      </c>
      <c r="BB158" s="37"/>
      <c r="BC158" s="118"/>
      <c r="BE158" s="152">
        <v>44303</v>
      </c>
      <c r="BF158" s="37"/>
      <c r="BG158" s="118"/>
      <c r="BI158" s="152">
        <v>44303</v>
      </c>
      <c r="BJ158" s="37"/>
      <c r="BK158" s="118"/>
      <c r="BM158" s="152">
        <v>44303</v>
      </c>
      <c r="BN158" s="37"/>
      <c r="BO158" s="118"/>
      <c r="BQ158" s="152">
        <v>44303</v>
      </c>
      <c r="BR158" s="37"/>
      <c r="BS158" s="118"/>
      <c r="BU158" s="152">
        <v>44303</v>
      </c>
      <c r="BV158" s="37"/>
      <c r="BW158" s="118"/>
      <c r="BY158" s="152">
        <v>44303</v>
      </c>
      <c r="BZ158" s="37"/>
      <c r="CA158" s="118"/>
    </row>
    <row r="159" spans="1:79">
      <c r="A159" s="133">
        <v>44302</v>
      </c>
      <c r="C159" s="80"/>
      <c r="E159" s="119">
        <v>44300</v>
      </c>
      <c r="I159" s="80">
        <v>44298</v>
      </c>
      <c r="J159" s="120">
        <v>1</v>
      </c>
      <c r="K159" s="80"/>
      <c r="N159" s="117">
        <v>44296</v>
      </c>
      <c r="O159" s="37"/>
      <c r="P159" s="37"/>
      <c r="R159" s="79">
        <v>2</v>
      </c>
      <c r="S159" s="134"/>
      <c r="U159" s="156">
        <v>44302</v>
      </c>
      <c r="W159" s="80"/>
      <c r="Y159" s="119">
        <v>44302</v>
      </c>
      <c r="AA159" s="80"/>
      <c r="AC159" s="119">
        <v>44301</v>
      </c>
      <c r="AE159" s="79"/>
      <c r="AG159" s="80">
        <v>44300</v>
      </c>
      <c r="AH159" s="120">
        <v>9</v>
      </c>
      <c r="AI159" s="80"/>
      <c r="AK159" s="121" t="s">
        <v>85</v>
      </c>
      <c r="AL159" s="121">
        <f>COUNTA(AL144:AL158)</f>
        <v>10</v>
      </c>
      <c r="AM159" s="158">
        <f>IF(AL159&lt;=$U$45,1,AL159/$U$45)</f>
        <v>1</v>
      </c>
      <c r="AO159" s="152">
        <v>44304</v>
      </c>
      <c r="AP159" s="37"/>
      <c r="AQ159" s="118"/>
      <c r="AR159" s="119"/>
      <c r="AS159" s="152">
        <v>44304</v>
      </c>
      <c r="AT159" s="37"/>
      <c r="AU159" s="118"/>
      <c r="AW159" s="152">
        <v>44304</v>
      </c>
      <c r="AX159" s="37"/>
      <c r="AY159" s="118"/>
      <c r="BA159" s="152">
        <v>44304</v>
      </c>
      <c r="BB159" s="37"/>
      <c r="BC159" s="118"/>
      <c r="BE159" s="152">
        <v>44304</v>
      </c>
      <c r="BF159" s="37"/>
      <c r="BG159" s="118"/>
      <c r="BI159" s="152">
        <v>44304</v>
      </c>
      <c r="BJ159" s="37"/>
      <c r="BK159" s="118"/>
      <c r="BL159" s="119"/>
      <c r="BM159" s="152">
        <v>44304</v>
      </c>
      <c r="BN159" s="37"/>
      <c r="BO159" s="118"/>
      <c r="BQ159" s="152">
        <v>44304</v>
      </c>
      <c r="BR159" s="37"/>
      <c r="BS159" s="118"/>
      <c r="BU159" s="152">
        <v>44304</v>
      </c>
      <c r="BV159" s="37"/>
      <c r="BW159" s="118"/>
      <c r="BY159" s="152">
        <v>44304</v>
      </c>
      <c r="BZ159" s="37"/>
      <c r="CA159" s="118"/>
    </row>
    <row r="160" spans="1:79">
      <c r="A160" s="129">
        <v>44303</v>
      </c>
      <c r="B160" s="37"/>
      <c r="C160" s="80"/>
      <c r="E160" s="119">
        <v>44301</v>
      </c>
      <c r="I160" s="80">
        <v>44299</v>
      </c>
      <c r="J160" s="120">
        <v>2</v>
      </c>
      <c r="K160" s="80"/>
      <c r="L160" s="37"/>
      <c r="M160" s="37"/>
      <c r="N160" s="117">
        <v>44297</v>
      </c>
      <c r="O160" s="37"/>
      <c r="P160" s="37"/>
      <c r="R160" s="37"/>
      <c r="S160" s="130"/>
      <c r="U160" s="152">
        <v>44303</v>
      </c>
      <c r="V160" s="37"/>
      <c r="W160" s="80"/>
      <c r="Y160" s="117">
        <v>44303</v>
      </c>
      <c r="Z160" s="37"/>
      <c r="AA160" s="80"/>
      <c r="AC160" s="119">
        <v>44302</v>
      </c>
      <c r="AE160" s="79"/>
      <c r="AG160" s="80">
        <v>44301</v>
      </c>
      <c r="AH160" s="120">
        <v>10</v>
      </c>
      <c r="AI160" s="80"/>
      <c r="AK160" s="119">
        <v>44299</v>
      </c>
      <c r="AL160" s="146">
        <v>1</v>
      </c>
      <c r="AM160" s="162"/>
      <c r="AO160" s="154">
        <v>44305</v>
      </c>
      <c r="AP160" s="79">
        <v>16</v>
      </c>
      <c r="AQ160" s="118"/>
      <c r="AS160" s="154">
        <v>44305</v>
      </c>
      <c r="AT160" s="79">
        <v>31</v>
      </c>
      <c r="AU160" s="118"/>
      <c r="AW160" s="154">
        <v>44305</v>
      </c>
      <c r="AX160" s="79">
        <v>46</v>
      </c>
      <c r="AY160" s="118"/>
      <c r="BA160" s="154">
        <v>44305</v>
      </c>
      <c r="BB160" s="79">
        <v>61</v>
      </c>
      <c r="BC160" s="118"/>
      <c r="BE160" s="154">
        <v>44305</v>
      </c>
      <c r="BF160" s="79">
        <v>75</v>
      </c>
      <c r="BG160" s="118"/>
      <c r="BI160" s="154">
        <v>44305</v>
      </c>
      <c r="BJ160" s="79">
        <v>16</v>
      </c>
      <c r="BK160" s="118"/>
      <c r="BM160" s="154">
        <v>44305</v>
      </c>
      <c r="BN160" s="79">
        <v>31</v>
      </c>
      <c r="BO160" s="118"/>
      <c r="BQ160" s="154">
        <v>44305</v>
      </c>
      <c r="BR160" s="79">
        <v>46</v>
      </c>
      <c r="BS160" s="118"/>
      <c r="BU160" s="154">
        <v>44305</v>
      </c>
      <c r="BV160" s="79">
        <v>61</v>
      </c>
      <c r="BW160" s="118"/>
      <c r="BY160" s="154">
        <v>44305</v>
      </c>
      <c r="BZ160" s="79">
        <v>75</v>
      </c>
      <c r="CA160" s="118"/>
    </row>
    <row r="161" spans="1:79">
      <c r="A161" s="129">
        <v>44304</v>
      </c>
      <c r="B161" s="37"/>
      <c r="C161" s="80"/>
      <c r="E161" s="119">
        <v>44302</v>
      </c>
      <c r="I161" s="80">
        <v>44300</v>
      </c>
      <c r="J161" s="120">
        <v>3</v>
      </c>
      <c r="K161" s="80"/>
      <c r="L161" s="37"/>
      <c r="M161" s="37"/>
      <c r="N161" s="80">
        <v>44298</v>
      </c>
      <c r="O161" s="120">
        <v>3</v>
      </c>
      <c r="P161" s="120">
        <v>1</v>
      </c>
      <c r="R161" s="37"/>
      <c r="S161" s="130"/>
      <c r="U161" s="152">
        <v>44304</v>
      </c>
      <c r="V161" s="37"/>
      <c r="W161" s="80"/>
      <c r="Y161" s="117">
        <v>44304</v>
      </c>
      <c r="Z161" s="37"/>
      <c r="AA161" s="80"/>
      <c r="AC161" s="117">
        <v>44303</v>
      </c>
      <c r="AD161" s="37"/>
      <c r="AE161" s="79"/>
      <c r="AG161" s="121" t="s">
        <v>85</v>
      </c>
      <c r="AH161" s="121">
        <f>COUNTA(AH145:AH160)</f>
        <v>10</v>
      </c>
      <c r="AI161" s="122">
        <f>IF(AH161&lt;=$U$45,1,AH161/$U$45)</f>
        <v>1</v>
      </c>
      <c r="AK161" s="119">
        <v>44300</v>
      </c>
      <c r="AL161" s="146">
        <v>2</v>
      </c>
      <c r="AM161" s="162"/>
      <c r="AO161" s="156">
        <v>44306</v>
      </c>
      <c r="AQ161" s="118"/>
      <c r="AS161" s="156">
        <v>44306</v>
      </c>
      <c r="AT161">
        <v>32</v>
      </c>
      <c r="AU161" s="118"/>
      <c r="AW161" s="156">
        <v>44306</v>
      </c>
      <c r="AX161">
        <v>47</v>
      </c>
      <c r="AY161" s="118"/>
      <c r="BA161" s="156">
        <v>44306</v>
      </c>
      <c r="BB161" s="79">
        <v>62</v>
      </c>
      <c r="BC161" s="118"/>
      <c r="BE161" s="156">
        <v>44306</v>
      </c>
      <c r="BF161" s="79">
        <v>76</v>
      </c>
      <c r="BG161" s="118"/>
      <c r="BI161" s="156">
        <v>44306</v>
      </c>
      <c r="BK161" s="118"/>
      <c r="BM161" s="156">
        <v>44306</v>
      </c>
      <c r="BN161">
        <v>32</v>
      </c>
      <c r="BO161" s="118"/>
      <c r="BQ161" s="156">
        <v>44306</v>
      </c>
      <c r="BR161">
        <v>47</v>
      </c>
      <c r="BS161" s="118"/>
      <c r="BU161" s="156">
        <v>44306</v>
      </c>
      <c r="BV161" s="79">
        <v>62</v>
      </c>
      <c r="BW161" s="118"/>
      <c r="BY161" s="156">
        <v>44306</v>
      </c>
      <c r="BZ161" s="79">
        <v>76</v>
      </c>
      <c r="CA161" s="118"/>
    </row>
    <row r="162" spans="1:79">
      <c r="A162" s="138">
        <v>44305</v>
      </c>
      <c r="B162" s="120">
        <v>2</v>
      </c>
      <c r="C162" s="80"/>
      <c r="D162" s="119"/>
      <c r="E162" s="117">
        <v>44303</v>
      </c>
      <c r="F162" s="37"/>
      <c r="G162" s="37"/>
      <c r="H162" s="119"/>
      <c r="I162" s="119">
        <v>44301</v>
      </c>
      <c r="K162" s="80"/>
      <c r="L162" s="119"/>
      <c r="M162" s="119"/>
      <c r="N162" s="80">
        <v>44299</v>
      </c>
      <c r="O162" s="120">
        <v>4</v>
      </c>
      <c r="P162" s="120">
        <v>2</v>
      </c>
      <c r="Q162" s="119"/>
      <c r="R162" s="79">
        <v>3</v>
      </c>
      <c r="S162" s="134"/>
      <c r="U162" s="161">
        <v>44305</v>
      </c>
      <c r="V162" s="120">
        <v>2</v>
      </c>
      <c r="W162" s="80"/>
      <c r="Y162" s="80">
        <v>44305</v>
      </c>
      <c r="Z162" s="120">
        <v>3</v>
      </c>
      <c r="AA162" s="80"/>
      <c r="AC162" s="117">
        <v>44304</v>
      </c>
      <c r="AD162" s="37"/>
      <c r="AE162" s="79"/>
      <c r="AG162" s="119">
        <v>44302</v>
      </c>
      <c r="AK162" s="119">
        <v>44301</v>
      </c>
      <c r="AL162" s="146">
        <v>3</v>
      </c>
      <c r="AM162" s="162"/>
      <c r="AO162" s="156">
        <v>44307</v>
      </c>
      <c r="AQ162" s="118"/>
      <c r="AS162" s="156">
        <v>44307</v>
      </c>
      <c r="AU162" s="118"/>
      <c r="AW162" s="156">
        <v>44307</v>
      </c>
      <c r="AX162">
        <v>48</v>
      </c>
      <c r="AY162" s="118"/>
      <c r="BA162" s="156">
        <v>44307</v>
      </c>
      <c r="BB162" s="79">
        <v>63</v>
      </c>
      <c r="BC162" s="118"/>
      <c r="BE162" s="156">
        <v>44307</v>
      </c>
      <c r="BF162" s="79">
        <v>77</v>
      </c>
      <c r="BG162" s="118"/>
      <c r="BI162" s="156">
        <v>44307</v>
      </c>
      <c r="BK162" s="118"/>
      <c r="BM162" s="156">
        <v>44307</v>
      </c>
      <c r="BO162" s="118"/>
      <c r="BQ162" s="156">
        <v>44307</v>
      </c>
      <c r="BR162">
        <v>48</v>
      </c>
      <c r="BS162" s="118"/>
      <c r="BU162" s="156">
        <v>44307</v>
      </c>
      <c r="BV162" s="79">
        <v>63</v>
      </c>
      <c r="BW162" s="118"/>
      <c r="BY162" s="156">
        <v>44307</v>
      </c>
      <c r="BZ162" s="79">
        <v>77</v>
      </c>
      <c r="CA162" s="118"/>
    </row>
    <row r="163" spans="1:79">
      <c r="A163" s="133">
        <v>44306</v>
      </c>
      <c r="C163" s="80"/>
      <c r="E163" s="117">
        <v>44304</v>
      </c>
      <c r="F163" s="37"/>
      <c r="G163" s="37"/>
      <c r="I163" s="119">
        <v>44302</v>
      </c>
      <c r="K163" s="80"/>
      <c r="N163" s="80">
        <v>44300</v>
      </c>
      <c r="O163" s="120">
        <v>5</v>
      </c>
      <c r="P163" s="120">
        <v>3</v>
      </c>
      <c r="R163" s="79">
        <v>4</v>
      </c>
      <c r="S163" s="134"/>
      <c r="U163" s="156">
        <v>44306</v>
      </c>
      <c r="W163" s="80"/>
      <c r="Y163" s="80">
        <v>44306</v>
      </c>
      <c r="Z163" s="120">
        <v>4</v>
      </c>
      <c r="AA163" s="80"/>
      <c r="AC163" s="119">
        <v>44305</v>
      </c>
      <c r="AD163" s="79">
        <v>7</v>
      </c>
      <c r="AE163" s="79"/>
      <c r="AG163" s="117">
        <v>44303</v>
      </c>
      <c r="AH163" s="37"/>
      <c r="AI163" s="37"/>
      <c r="AK163" s="119">
        <v>44302</v>
      </c>
      <c r="AL163" s="146">
        <v>4</v>
      </c>
      <c r="AM163" s="162"/>
      <c r="AO163" s="156">
        <v>44308</v>
      </c>
      <c r="AQ163" s="118"/>
      <c r="AS163" s="156">
        <v>44308</v>
      </c>
      <c r="AU163" s="118"/>
      <c r="AW163" s="156">
        <v>44308</v>
      </c>
      <c r="AY163" s="118"/>
      <c r="BA163" s="156">
        <v>44308</v>
      </c>
      <c r="BB163" s="79">
        <v>64</v>
      </c>
      <c r="BC163" s="118"/>
      <c r="BE163" s="156">
        <v>44308</v>
      </c>
      <c r="BF163" s="79">
        <v>78</v>
      </c>
      <c r="BG163" s="118"/>
      <c r="BI163" s="156">
        <v>44308</v>
      </c>
      <c r="BK163" s="118"/>
      <c r="BM163" s="156">
        <v>44308</v>
      </c>
      <c r="BO163" s="118"/>
      <c r="BQ163" s="156">
        <v>44308</v>
      </c>
      <c r="BS163" s="118"/>
      <c r="BU163" s="156">
        <v>44308</v>
      </c>
      <c r="BV163" s="79">
        <v>64</v>
      </c>
      <c r="BW163" s="118"/>
      <c r="BY163" s="156">
        <v>44308</v>
      </c>
      <c r="BZ163" s="79">
        <v>78</v>
      </c>
      <c r="CA163" s="118"/>
    </row>
    <row r="164" spans="1:79">
      <c r="A164" s="133">
        <v>44307</v>
      </c>
      <c r="C164" s="80"/>
      <c r="E164" s="80">
        <v>44305</v>
      </c>
      <c r="F164" s="120">
        <v>1</v>
      </c>
      <c r="G164" s="80"/>
      <c r="I164" s="117">
        <v>44303</v>
      </c>
      <c r="J164" s="37"/>
      <c r="K164" s="80"/>
      <c r="N164" s="80">
        <v>44301</v>
      </c>
      <c r="O164" s="120">
        <v>6</v>
      </c>
      <c r="P164" s="120">
        <v>4</v>
      </c>
      <c r="R164" s="79">
        <v>5</v>
      </c>
      <c r="S164" s="134"/>
      <c r="U164" s="156">
        <v>44307</v>
      </c>
      <c r="W164" s="80"/>
      <c r="Y164" s="119">
        <v>44307</v>
      </c>
      <c r="AA164" s="80"/>
      <c r="AC164" s="119">
        <v>44306</v>
      </c>
      <c r="AD164" s="79">
        <v>8</v>
      </c>
      <c r="AE164" s="79"/>
      <c r="AG164" s="117">
        <v>44304</v>
      </c>
      <c r="AH164" s="37"/>
      <c r="AI164" s="37"/>
      <c r="AK164" s="117">
        <v>44303</v>
      </c>
      <c r="AL164" s="37"/>
      <c r="AM164" s="162"/>
      <c r="AO164" s="156">
        <v>44309</v>
      </c>
      <c r="AQ164" s="118"/>
      <c r="AS164" s="156">
        <v>44309</v>
      </c>
      <c r="AU164" s="118"/>
      <c r="AW164" s="156">
        <v>44309</v>
      </c>
      <c r="AY164" s="118"/>
      <c r="BA164" s="156">
        <v>44309</v>
      </c>
      <c r="BC164" s="118"/>
      <c r="BE164" s="156">
        <v>44309</v>
      </c>
      <c r="BF164" s="79">
        <v>79</v>
      </c>
      <c r="BG164" s="118"/>
      <c r="BI164" s="156">
        <v>44309</v>
      </c>
      <c r="BK164" s="118"/>
      <c r="BM164" s="156">
        <v>44309</v>
      </c>
      <c r="BO164" s="118"/>
      <c r="BQ164" s="156">
        <v>44309</v>
      </c>
      <c r="BS164" s="118"/>
      <c r="BU164" s="156">
        <v>44309</v>
      </c>
      <c r="BW164" s="118"/>
      <c r="BY164" s="156">
        <v>44309</v>
      </c>
      <c r="BZ164" s="79">
        <v>79</v>
      </c>
      <c r="CA164" s="118"/>
    </row>
    <row r="165" spans="1:79">
      <c r="A165" s="133">
        <v>44308</v>
      </c>
      <c r="C165" s="80"/>
      <c r="E165" s="80">
        <v>44306</v>
      </c>
      <c r="F165" s="120">
        <v>2</v>
      </c>
      <c r="G165" s="120"/>
      <c r="I165" s="117">
        <v>44304</v>
      </c>
      <c r="J165" s="37"/>
      <c r="K165" s="80"/>
      <c r="N165" s="121" t="s">
        <v>85</v>
      </c>
      <c r="O165" s="121">
        <f>COUNTA(O157:O164)</f>
        <v>6</v>
      </c>
      <c r="P165" s="122">
        <f>IF(O165&lt;=$A$45,1,O165/$A$45)</f>
        <v>1</v>
      </c>
      <c r="R165" s="79">
        <v>6</v>
      </c>
      <c r="S165" s="134"/>
      <c r="U165" s="156">
        <v>44308</v>
      </c>
      <c r="W165" s="80"/>
      <c r="Y165" s="119">
        <v>44308</v>
      </c>
      <c r="AA165" s="80"/>
      <c r="AC165" s="119">
        <v>44307</v>
      </c>
      <c r="AD165" s="79">
        <v>9</v>
      </c>
      <c r="AE165" s="79"/>
      <c r="AG165" s="118">
        <v>44305</v>
      </c>
      <c r="AH165" s="79">
        <v>1</v>
      </c>
      <c r="AI165" s="79"/>
      <c r="AK165" s="117">
        <v>44304</v>
      </c>
      <c r="AL165" s="37"/>
      <c r="AM165" s="162"/>
      <c r="AO165" s="152">
        <v>44310</v>
      </c>
      <c r="AP165" s="37"/>
      <c r="AQ165" s="118"/>
      <c r="AS165" s="152">
        <v>44310</v>
      </c>
      <c r="AT165" s="37"/>
      <c r="AU165" s="118"/>
      <c r="AW165" s="152">
        <v>44310</v>
      </c>
      <c r="AX165" s="37"/>
      <c r="AY165" s="118"/>
      <c r="BA165" s="152">
        <v>44310</v>
      </c>
      <c r="BB165" s="37"/>
      <c r="BC165" s="118"/>
      <c r="BE165" s="152">
        <v>44310</v>
      </c>
      <c r="BF165" s="37"/>
      <c r="BG165" s="118"/>
      <c r="BI165" s="152">
        <v>44310</v>
      </c>
      <c r="BJ165" s="37"/>
      <c r="BK165" s="118"/>
      <c r="BM165" s="152">
        <v>44310</v>
      </c>
      <c r="BN165" s="37"/>
      <c r="BO165" s="118"/>
      <c r="BQ165" s="152">
        <v>44310</v>
      </c>
      <c r="BR165" s="37"/>
      <c r="BS165" s="118"/>
      <c r="BU165" s="152">
        <v>44310</v>
      </c>
      <c r="BV165" s="37"/>
      <c r="BW165" s="118"/>
      <c r="BY165" s="152">
        <v>44310</v>
      </c>
      <c r="BZ165" s="37"/>
      <c r="CA165" s="118"/>
    </row>
    <row r="166" spans="1:79">
      <c r="A166" s="133">
        <v>44309</v>
      </c>
      <c r="C166" s="80"/>
      <c r="D166" s="119"/>
      <c r="E166" s="119">
        <v>44307</v>
      </c>
      <c r="G166" s="120"/>
      <c r="H166" s="119"/>
      <c r="I166" s="80">
        <v>44305</v>
      </c>
      <c r="J166" s="120">
        <v>4</v>
      </c>
      <c r="K166" s="80"/>
      <c r="L166" s="119"/>
      <c r="M166" s="119"/>
      <c r="N166" s="119">
        <v>44302</v>
      </c>
      <c r="Q166" s="119"/>
      <c r="R166" s="120">
        <v>1</v>
      </c>
      <c r="S166" s="135"/>
      <c r="U166" s="156">
        <v>44309</v>
      </c>
      <c r="W166" s="80"/>
      <c r="X166" s="119"/>
      <c r="Y166" s="119">
        <v>44309</v>
      </c>
      <c r="AA166" s="80"/>
      <c r="AC166" s="119">
        <v>44308</v>
      </c>
      <c r="AE166" s="79"/>
      <c r="AG166" s="118">
        <v>44306</v>
      </c>
      <c r="AH166" s="79">
        <v>2</v>
      </c>
      <c r="AI166" s="79"/>
      <c r="AK166" s="118">
        <v>44305</v>
      </c>
      <c r="AL166" s="146">
        <v>5</v>
      </c>
      <c r="AM166" s="162"/>
      <c r="AO166" s="152">
        <v>44311</v>
      </c>
      <c r="AP166" s="37"/>
      <c r="AQ166" s="118"/>
      <c r="AS166" s="152">
        <v>44311</v>
      </c>
      <c r="AT166" s="37"/>
      <c r="AU166" s="118"/>
      <c r="AW166" s="152">
        <v>44311</v>
      </c>
      <c r="AX166" s="37"/>
      <c r="AY166" s="118"/>
      <c r="BA166" s="152">
        <v>44311</v>
      </c>
      <c r="BB166" s="37"/>
      <c r="BC166" s="118"/>
      <c r="BE166" s="152">
        <v>44311</v>
      </c>
      <c r="BF166" s="37"/>
      <c r="BG166" s="118"/>
      <c r="BI166" s="152">
        <v>44311</v>
      </c>
      <c r="BJ166" s="37"/>
      <c r="BK166" s="118"/>
      <c r="BM166" s="152">
        <v>44311</v>
      </c>
      <c r="BN166" s="37"/>
      <c r="BO166" s="118"/>
      <c r="BQ166" s="152">
        <v>44311</v>
      </c>
      <c r="BR166" s="37"/>
      <c r="BS166" s="118"/>
      <c r="BU166" s="152">
        <v>44311</v>
      </c>
      <c r="BV166" s="37"/>
      <c r="BW166" s="118"/>
      <c r="BY166" s="152">
        <v>44311</v>
      </c>
      <c r="BZ166" s="37"/>
      <c r="CA166" s="118"/>
    </row>
    <row r="167" spans="1:79">
      <c r="A167" s="129">
        <v>44310</v>
      </c>
      <c r="B167" s="37"/>
      <c r="C167" s="80"/>
      <c r="E167" s="119">
        <v>44308</v>
      </c>
      <c r="G167" s="120"/>
      <c r="I167" s="80">
        <v>44306</v>
      </c>
      <c r="J167" s="120">
        <v>5</v>
      </c>
      <c r="K167" s="80"/>
      <c r="L167" s="37"/>
      <c r="M167" s="37"/>
      <c r="N167" s="117">
        <v>44303</v>
      </c>
      <c r="O167" s="37"/>
      <c r="P167" s="37"/>
      <c r="R167" s="37"/>
      <c r="S167" s="130"/>
      <c r="U167" s="152">
        <v>44310</v>
      </c>
      <c r="V167" s="37"/>
      <c r="W167" s="80"/>
      <c r="Y167" s="117">
        <v>44310</v>
      </c>
      <c r="Z167" s="37"/>
      <c r="AA167" s="80"/>
      <c r="AC167" s="119">
        <v>44309</v>
      </c>
      <c r="AE167" s="79"/>
      <c r="AG167" s="118">
        <v>44307</v>
      </c>
      <c r="AH167" s="79">
        <v>3</v>
      </c>
      <c r="AI167" s="79"/>
      <c r="AK167" s="119">
        <v>44306</v>
      </c>
      <c r="AL167" s="79">
        <v>6</v>
      </c>
      <c r="AM167" s="149"/>
      <c r="AO167" s="154">
        <v>44312</v>
      </c>
      <c r="AP167" s="79">
        <v>17</v>
      </c>
      <c r="AQ167" s="118"/>
      <c r="AR167" s="119"/>
      <c r="AS167" s="154">
        <v>44312</v>
      </c>
      <c r="AT167" s="79">
        <v>33</v>
      </c>
      <c r="AU167" s="118"/>
      <c r="AW167" s="154">
        <v>44312</v>
      </c>
      <c r="AX167" s="79">
        <v>49</v>
      </c>
      <c r="AY167" s="118"/>
      <c r="BA167" s="154">
        <v>44312</v>
      </c>
      <c r="BB167" s="79">
        <v>65</v>
      </c>
      <c r="BC167" s="118"/>
      <c r="BE167" s="154">
        <v>44312</v>
      </c>
      <c r="BF167" s="79">
        <v>80</v>
      </c>
      <c r="BG167" s="118"/>
      <c r="BI167" s="154">
        <v>44312</v>
      </c>
      <c r="BJ167" s="79">
        <v>17</v>
      </c>
      <c r="BK167" s="118"/>
      <c r="BL167" s="119"/>
      <c r="BM167" s="154">
        <v>44312</v>
      </c>
      <c r="BN167" s="79">
        <v>33</v>
      </c>
      <c r="BO167" s="118"/>
      <c r="BQ167" s="154">
        <v>44312</v>
      </c>
      <c r="BR167" s="79">
        <v>49</v>
      </c>
      <c r="BS167" s="118"/>
      <c r="BU167" s="154">
        <v>44312</v>
      </c>
      <c r="BV167" s="79">
        <v>65</v>
      </c>
      <c r="BW167" s="118"/>
      <c r="BY167" s="154">
        <v>44312</v>
      </c>
      <c r="BZ167" s="79">
        <v>80</v>
      </c>
      <c r="CA167" s="118"/>
    </row>
    <row r="168" spans="1:79">
      <c r="A168" s="129">
        <v>44311</v>
      </c>
      <c r="B168" s="37"/>
      <c r="C168" s="80"/>
      <c r="E168" s="119">
        <v>44309</v>
      </c>
      <c r="G168" s="120"/>
      <c r="I168" s="80">
        <v>44307</v>
      </c>
      <c r="J168" s="120">
        <v>6</v>
      </c>
      <c r="K168" s="80"/>
      <c r="L168" s="37"/>
      <c r="M168" s="37"/>
      <c r="N168" s="117">
        <v>44304</v>
      </c>
      <c r="O168" s="37"/>
      <c r="P168" s="37"/>
      <c r="R168" s="37"/>
      <c r="S168" s="130"/>
      <c r="U168" s="152">
        <v>44311</v>
      </c>
      <c r="V168" s="37"/>
      <c r="W168" s="80"/>
      <c r="Y168" s="117">
        <v>44311</v>
      </c>
      <c r="Z168" s="37"/>
      <c r="AA168" s="80"/>
      <c r="AC168" s="117">
        <v>44310</v>
      </c>
      <c r="AD168" s="37"/>
      <c r="AE168" s="79"/>
      <c r="AG168" s="118">
        <v>44308</v>
      </c>
      <c r="AH168" s="79">
        <v>4</v>
      </c>
      <c r="AI168" s="79"/>
      <c r="AK168" s="119">
        <v>44307</v>
      </c>
      <c r="AL168" s="79">
        <v>7</v>
      </c>
      <c r="AM168" s="149"/>
      <c r="AO168" s="156">
        <v>44313</v>
      </c>
      <c r="AQ168" s="118"/>
      <c r="AS168" s="156">
        <v>44313</v>
      </c>
      <c r="AT168">
        <v>34</v>
      </c>
      <c r="AU168" s="118"/>
      <c r="AW168" s="156">
        <v>44313</v>
      </c>
      <c r="AX168">
        <v>50</v>
      </c>
      <c r="AY168" s="118"/>
      <c r="BA168" s="156">
        <v>44313</v>
      </c>
      <c r="BB168" s="79">
        <v>66</v>
      </c>
      <c r="BC168" s="118"/>
      <c r="BE168" s="156">
        <v>44313</v>
      </c>
      <c r="BF168" s="79">
        <v>81</v>
      </c>
      <c r="BG168" s="118"/>
      <c r="BI168" s="156">
        <v>44313</v>
      </c>
      <c r="BK168" s="118"/>
      <c r="BM168" s="156">
        <v>44313</v>
      </c>
      <c r="BN168">
        <v>34</v>
      </c>
      <c r="BO168" s="118"/>
      <c r="BQ168" s="156">
        <v>44313</v>
      </c>
      <c r="BR168">
        <v>50</v>
      </c>
      <c r="BS168" s="118"/>
      <c r="BU168" s="156">
        <v>44313</v>
      </c>
      <c r="BV168" s="79">
        <v>66</v>
      </c>
      <c r="BW168" s="118"/>
      <c r="BY168" s="156">
        <v>44313</v>
      </c>
      <c r="BZ168" s="79">
        <v>81</v>
      </c>
      <c r="CA168" s="118"/>
    </row>
    <row r="169" spans="1:79">
      <c r="A169" s="138">
        <v>44312</v>
      </c>
      <c r="B169" s="120">
        <v>3</v>
      </c>
      <c r="C169" s="80"/>
      <c r="E169" s="117">
        <v>44310</v>
      </c>
      <c r="F169" s="37"/>
      <c r="G169" s="120"/>
      <c r="I169" s="121" t="s">
        <v>85</v>
      </c>
      <c r="J169" s="121">
        <f>COUNTA(J159:J168)</f>
        <v>6</v>
      </c>
      <c r="K169" s="122">
        <f>IF(J169&lt;=$A$45,1,J169/$A$45)</f>
        <v>1</v>
      </c>
      <c r="L169" s="119"/>
      <c r="M169" s="119"/>
      <c r="N169" s="118">
        <v>44305</v>
      </c>
      <c r="O169" s="79">
        <v>1</v>
      </c>
      <c r="P169" s="79">
        <v>1</v>
      </c>
      <c r="R169" s="120">
        <v>2</v>
      </c>
      <c r="S169" s="125"/>
      <c r="U169" s="161">
        <v>44312</v>
      </c>
      <c r="V169" s="120">
        <v>3</v>
      </c>
      <c r="W169" s="80"/>
      <c r="Y169" s="80">
        <v>44312</v>
      </c>
      <c r="Z169" s="120">
        <v>5</v>
      </c>
      <c r="AA169" s="80"/>
      <c r="AC169" s="117">
        <v>44311</v>
      </c>
      <c r="AD169" s="37"/>
      <c r="AE169" s="79"/>
      <c r="AG169" s="119">
        <v>44309</v>
      </c>
      <c r="AI169" s="79"/>
      <c r="AK169" s="119">
        <v>44308</v>
      </c>
      <c r="AL169" s="79">
        <v>8</v>
      </c>
      <c r="AM169" s="149"/>
      <c r="AO169" s="156">
        <v>44314</v>
      </c>
      <c r="AQ169" s="118"/>
      <c r="AS169" s="156">
        <v>44314</v>
      </c>
      <c r="AU169" s="118"/>
      <c r="AW169" s="156">
        <v>44314</v>
      </c>
      <c r="AX169">
        <v>51</v>
      </c>
      <c r="AY169" s="118"/>
      <c r="BA169" s="156">
        <v>44314</v>
      </c>
      <c r="BB169" s="79">
        <v>67</v>
      </c>
      <c r="BC169" s="118"/>
      <c r="BE169" s="156">
        <v>44314</v>
      </c>
      <c r="BF169" s="79">
        <v>82</v>
      </c>
      <c r="BG169" s="118"/>
      <c r="BI169" s="156">
        <v>44314</v>
      </c>
      <c r="BK169" s="118"/>
      <c r="BM169" s="156">
        <v>44314</v>
      </c>
      <c r="BO169" s="118"/>
      <c r="BQ169" s="156">
        <v>44314</v>
      </c>
      <c r="BR169">
        <v>51</v>
      </c>
      <c r="BS169" s="118"/>
      <c r="BU169" s="156">
        <v>44314</v>
      </c>
      <c r="BV169" s="79">
        <v>67</v>
      </c>
      <c r="BW169" s="118"/>
      <c r="BY169" s="156">
        <v>44314</v>
      </c>
      <c r="BZ169" s="79">
        <v>82</v>
      </c>
      <c r="CA169" s="118"/>
    </row>
    <row r="170" spans="1:79">
      <c r="A170" s="133">
        <v>44313</v>
      </c>
      <c r="C170" s="80"/>
      <c r="E170" s="117">
        <v>44311</v>
      </c>
      <c r="F170" s="37"/>
      <c r="G170" s="120"/>
      <c r="I170" s="119">
        <v>44308</v>
      </c>
      <c r="N170" s="118">
        <v>44306</v>
      </c>
      <c r="O170" s="79">
        <v>2</v>
      </c>
      <c r="P170" s="79">
        <v>2</v>
      </c>
      <c r="R170" s="120">
        <v>3</v>
      </c>
      <c r="S170" s="125"/>
      <c r="U170" s="156">
        <v>44313</v>
      </c>
      <c r="W170" s="80"/>
      <c r="Y170" s="80">
        <v>44313</v>
      </c>
      <c r="Z170" s="120">
        <v>6</v>
      </c>
      <c r="AA170" s="80"/>
      <c r="AC170" s="119">
        <v>44312</v>
      </c>
      <c r="AD170" s="79">
        <v>10</v>
      </c>
      <c r="AE170" s="79"/>
      <c r="AG170" s="117">
        <v>44310</v>
      </c>
      <c r="AH170" s="37"/>
      <c r="AI170" s="79"/>
      <c r="AK170" s="119">
        <v>44309</v>
      </c>
      <c r="AL170" s="79">
        <v>9</v>
      </c>
      <c r="AM170" s="149"/>
      <c r="AO170" s="156">
        <v>44315</v>
      </c>
      <c r="AQ170" s="118"/>
      <c r="AS170" s="156">
        <v>44315</v>
      </c>
      <c r="AU170" s="118"/>
      <c r="AW170" s="156">
        <v>44315</v>
      </c>
      <c r="AY170" s="118"/>
      <c r="BA170" s="156">
        <v>44315</v>
      </c>
      <c r="BB170" s="79">
        <v>68</v>
      </c>
      <c r="BC170" s="118"/>
      <c r="BE170" s="156">
        <v>44315</v>
      </c>
      <c r="BF170" s="79">
        <v>83</v>
      </c>
      <c r="BG170" s="118"/>
      <c r="BI170" s="156">
        <v>44315</v>
      </c>
      <c r="BK170" s="118"/>
      <c r="BM170" s="156">
        <v>44315</v>
      </c>
      <c r="BO170" s="118"/>
      <c r="BQ170" s="156">
        <v>44315</v>
      </c>
      <c r="BS170" s="118"/>
      <c r="BU170" s="156">
        <v>44315</v>
      </c>
      <c r="BV170" s="79">
        <v>68</v>
      </c>
      <c r="BW170" s="118"/>
      <c r="BY170" s="156">
        <v>44315</v>
      </c>
      <c r="BZ170" s="79">
        <v>83</v>
      </c>
      <c r="CA170" s="118"/>
    </row>
    <row r="171" spans="1:79">
      <c r="A171" s="133">
        <v>44314</v>
      </c>
      <c r="C171" s="80"/>
      <c r="D171" s="119"/>
      <c r="E171" s="80">
        <v>44312</v>
      </c>
      <c r="F171" s="120">
        <v>3</v>
      </c>
      <c r="G171" s="120"/>
      <c r="H171" s="119"/>
      <c r="I171" s="119">
        <v>44309</v>
      </c>
      <c r="K171" s="119"/>
      <c r="N171" s="118">
        <v>44307</v>
      </c>
      <c r="O171" s="79">
        <v>3</v>
      </c>
      <c r="P171" s="79">
        <v>3</v>
      </c>
      <c r="Q171" s="119"/>
      <c r="R171" s="120">
        <v>4</v>
      </c>
      <c r="S171" s="125"/>
      <c r="U171" s="156">
        <v>44314</v>
      </c>
      <c r="W171" s="80"/>
      <c r="X171" s="119"/>
      <c r="Y171" s="119">
        <v>44314</v>
      </c>
      <c r="AA171" s="80"/>
      <c r="AC171" s="121" t="s">
        <v>85</v>
      </c>
      <c r="AD171" s="121">
        <f>COUNTA(AD150:AD170)</f>
        <v>10</v>
      </c>
      <c r="AE171" s="122">
        <f>IF(AD171&lt;=$U$45,1,AD171/$U$45)</f>
        <v>1</v>
      </c>
      <c r="AG171" s="117">
        <v>44311</v>
      </c>
      <c r="AH171" s="37"/>
      <c r="AI171" s="79"/>
      <c r="AK171" s="117">
        <v>44310</v>
      </c>
      <c r="AL171" s="37"/>
      <c r="AM171" s="149"/>
      <c r="AO171" s="156">
        <v>44316</v>
      </c>
      <c r="AQ171" s="118"/>
      <c r="AS171" s="156">
        <v>44316</v>
      </c>
      <c r="AU171" s="118"/>
      <c r="AW171" s="156">
        <v>44316</v>
      </c>
      <c r="AY171" s="118"/>
      <c r="BA171" s="156">
        <v>44316</v>
      </c>
      <c r="BC171" s="118"/>
      <c r="BE171" s="156">
        <v>44316</v>
      </c>
      <c r="BF171" s="79">
        <v>84</v>
      </c>
      <c r="BG171" s="118"/>
      <c r="BI171" s="156">
        <v>44316</v>
      </c>
      <c r="BK171" s="118"/>
      <c r="BM171" s="156">
        <v>44316</v>
      </c>
      <c r="BO171" s="118"/>
      <c r="BQ171" s="156">
        <v>44316</v>
      </c>
      <c r="BS171" s="118"/>
      <c r="BU171" s="156">
        <v>44316</v>
      </c>
      <c r="BW171" s="118"/>
      <c r="BY171" s="156">
        <v>44316</v>
      </c>
      <c r="BZ171" s="79">
        <v>84</v>
      </c>
      <c r="CA171" s="118"/>
    </row>
    <row r="172" spans="1:79">
      <c r="A172" s="133">
        <v>44315</v>
      </c>
      <c r="C172" s="80"/>
      <c r="E172" s="80">
        <v>44313</v>
      </c>
      <c r="F172" s="120">
        <v>4</v>
      </c>
      <c r="G172" s="120"/>
      <c r="I172" s="117">
        <v>44310</v>
      </c>
      <c r="J172" s="37"/>
      <c r="K172" s="37"/>
      <c r="N172" s="118">
        <v>44308</v>
      </c>
      <c r="O172" s="79">
        <v>4</v>
      </c>
      <c r="P172" s="79">
        <v>4</v>
      </c>
      <c r="R172" s="120">
        <v>5</v>
      </c>
      <c r="S172" s="125"/>
      <c r="U172" s="156">
        <v>44315</v>
      </c>
      <c r="W172" s="80"/>
      <c r="Y172" s="119">
        <v>44315</v>
      </c>
      <c r="AA172" s="80"/>
      <c r="AC172" s="80">
        <v>44313</v>
      </c>
      <c r="AD172" s="120">
        <v>1</v>
      </c>
      <c r="AE172" s="80"/>
      <c r="AG172" s="118">
        <v>44312</v>
      </c>
      <c r="AH172" s="79">
        <v>5</v>
      </c>
      <c r="AI172" s="79"/>
      <c r="AK172" s="117">
        <v>44311</v>
      </c>
      <c r="AL172" s="37"/>
      <c r="AM172" s="149"/>
      <c r="AO172" s="152">
        <v>44317</v>
      </c>
      <c r="AP172" s="37"/>
      <c r="AQ172" s="118"/>
      <c r="AR172" s="119"/>
      <c r="AS172" s="152">
        <v>44317</v>
      </c>
      <c r="AT172" s="37"/>
      <c r="AU172" s="118"/>
      <c r="AW172" s="152">
        <v>44317</v>
      </c>
      <c r="AX172" s="37"/>
      <c r="AY172" s="118"/>
      <c r="BA172" s="152">
        <v>44317</v>
      </c>
      <c r="BB172" s="37"/>
      <c r="BC172" s="118"/>
      <c r="BE172" s="152">
        <v>44317</v>
      </c>
      <c r="BF172" s="37"/>
      <c r="BG172" s="118"/>
      <c r="BI172" s="152">
        <v>44317</v>
      </c>
      <c r="BJ172" s="37"/>
      <c r="BK172" s="118"/>
      <c r="BL172" s="119"/>
      <c r="BM172" s="152">
        <v>44317</v>
      </c>
      <c r="BN172" s="37"/>
      <c r="BO172" s="118"/>
      <c r="BQ172" s="152">
        <v>44317</v>
      </c>
      <c r="BR172" s="37"/>
      <c r="BS172" s="118"/>
      <c r="BU172" s="152">
        <v>44317</v>
      </c>
      <c r="BV172" s="37"/>
      <c r="BW172" s="118"/>
      <c r="BY172" s="152">
        <v>44317</v>
      </c>
      <c r="BZ172" s="37"/>
      <c r="CA172" s="118"/>
    </row>
    <row r="173" spans="1:79">
      <c r="A173" s="133">
        <v>44316</v>
      </c>
      <c r="C173" s="80"/>
      <c r="E173" s="119">
        <v>44314</v>
      </c>
      <c r="G173" s="120"/>
      <c r="I173" s="117">
        <v>44311</v>
      </c>
      <c r="J173" s="37"/>
      <c r="K173" s="37"/>
      <c r="N173" s="119">
        <v>44309</v>
      </c>
      <c r="R173" s="120">
        <v>6</v>
      </c>
      <c r="S173" s="125"/>
      <c r="U173" s="156">
        <v>44316</v>
      </c>
      <c r="W173" s="80"/>
      <c r="Y173" s="119">
        <v>44316</v>
      </c>
      <c r="AA173" s="80"/>
      <c r="AC173" s="80">
        <v>44314</v>
      </c>
      <c r="AD173" s="120">
        <v>2</v>
      </c>
      <c r="AE173" s="80"/>
      <c r="AG173" s="118">
        <v>44313</v>
      </c>
      <c r="AH173" s="79">
        <v>6</v>
      </c>
      <c r="AI173" s="79"/>
      <c r="AK173" s="118">
        <v>44312</v>
      </c>
      <c r="AL173" s="79">
        <v>10</v>
      </c>
      <c r="AM173" s="149"/>
      <c r="AO173" s="152">
        <v>44318</v>
      </c>
      <c r="AP173" s="37"/>
      <c r="AQ173" s="118"/>
      <c r="AS173" s="152">
        <v>44318</v>
      </c>
      <c r="AT173" s="37"/>
      <c r="AU173" s="118"/>
      <c r="AW173" s="152">
        <v>44318</v>
      </c>
      <c r="AX173" s="37"/>
      <c r="AY173" s="118"/>
      <c r="BA173" s="152">
        <v>44318</v>
      </c>
      <c r="BB173" s="37"/>
      <c r="BC173" s="118"/>
      <c r="BE173" s="152">
        <v>44318</v>
      </c>
      <c r="BF173" s="37"/>
      <c r="BG173" s="118"/>
      <c r="BI173" s="152">
        <v>44318</v>
      </c>
      <c r="BJ173" s="37"/>
      <c r="BK173" s="118"/>
      <c r="BM173" s="152">
        <v>44318</v>
      </c>
      <c r="BN173" s="37"/>
      <c r="BO173" s="118"/>
      <c r="BQ173" s="152">
        <v>44318</v>
      </c>
      <c r="BR173" s="37"/>
      <c r="BS173" s="118"/>
      <c r="BU173" s="152">
        <v>44318</v>
      </c>
      <c r="BV173" s="37"/>
      <c r="BW173" s="118"/>
      <c r="BY173" s="152">
        <v>44318</v>
      </c>
      <c r="BZ173" s="37"/>
      <c r="CA173" s="118"/>
    </row>
    <row r="174" spans="1:79">
      <c r="A174" s="129">
        <v>44317</v>
      </c>
      <c r="B174" s="37"/>
      <c r="C174" s="80"/>
      <c r="E174" s="119">
        <v>44315</v>
      </c>
      <c r="G174" s="120"/>
      <c r="I174" s="118">
        <v>44312</v>
      </c>
      <c r="J174" s="79">
        <v>1</v>
      </c>
      <c r="K174" s="118"/>
      <c r="L174" s="37"/>
      <c r="M174" s="37"/>
      <c r="N174" s="117">
        <v>44310</v>
      </c>
      <c r="O174" s="37"/>
      <c r="P174" s="37"/>
      <c r="R174" s="37"/>
      <c r="S174" s="130"/>
      <c r="U174" s="152">
        <v>44317</v>
      </c>
      <c r="V174" s="37"/>
      <c r="W174" s="80"/>
      <c r="Y174" s="117">
        <v>44317</v>
      </c>
      <c r="Z174" s="37"/>
      <c r="AA174" s="80"/>
      <c r="AC174" s="119">
        <v>44315</v>
      </c>
      <c r="AE174" s="80"/>
      <c r="AG174" s="118">
        <v>44314</v>
      </c>
      <c r="AH174" s="79">
        <v>7</v>
      </c>
      <c r="AI174" s="79"/>
      <c r="AK174" s="121" t="s">
        <v>85</v>
      </c>
      <c r="AL174" s="121">
        <f>COUNTA(AL160:AL173)</f>
        <v>10</v>
      </c>
      <c r="AM174" s="158">
        <f>IF(AL174&lt;=$U$45,1,AL174/$U$45)</f>
        <v>1</v>
      </c>
      <c r="AO174" s="154">
        <v>44319</v>
      </c>
      <c r="AP174" s="79">
        <v>18</v>
      </c>
      <c r="AQ174" s="118"/>
      <c r="AS174" s="154">
        <v>44319</v>
      </c>
      <c r="AT174" s="79">
        <v>35</v>
      </c>
      <c r="AU174" s="118"/>
      <c r="AW174" s="154">
        <v>44319</v>
      </c>
      <c r="AX174" s="79">
        <v>52</v>
      </c>
      <c r="AY174" s="118"/>
      <c r="BA174" s="154">
        <v>44319</v>
      </c>
      <c r="BB174" s="79">
        <v>69</v>
      </c>
      <c r="BC174" s="118"/>
      <c r="BE174" s="154">
        <v>44319</v>
      </c>
      <c r="BF174" s="79">
        <v>85</v>
      </c>
      <c r="BG174" s="118"/>
      <c r="BI174" s="154">
        <v>44319</v>
      </c>
      <c r="BJ174" s="79">
        <v>18</v>
      </c>
      <c r="BK174" s="118"/>
      <c r="BM174" s="154">
        <v>44319</v>
      </c>
      <c r="BN174" s="79">
        <v>35</v>
      </c>
      <c r="BO174" s="118"/>
      <c r="BQ174" s="154">
        <v>44319</v>
      </c>
      <c r="BR174" s="79">
        <v>52</v>
      </c>
      <c r="BS174" s="118"/>
      <c r="BU174" s="154">
        <v>44319</v>
      </c>
      <c r="BV174" s="79">
        <v>69</v>
      </c>
      <c r="BW174" s="118"/>
      <c r="BY174" s="154">
        <v>44319</v>
      </c>
      <c r="BZ174" s="79">
        <v>85</v>
      </c>
      <c r="CA174" s="118"/>
    </row>
    <row r="175" spans="1:79">
      <c r="A175" s="129">
        <v>44318</v>
      </c>
      <c r="B175" s="37"/>
      <c r="C175" s="80"/>
      <c r="E175" s="119">
        <v>44316</v>
      </c>
      <c r="G175" s="120"/>
      <c r="I175" s="118">
        <v>44313</v>
      </c>
      <c r="J175" s="79">
        <v>2</v>
      </c>
      <c r="K175" s="79"/>
      <c r="L175" s="37"/>
      <c r="M175" s="37"/>
      <c r="N175" s="117">
        <v>44311</v>
      </c>
      <c r="O175" s="37"/>
      <c r="P175" s="37"/>
      <c r="R175" s="37"/>
      <c r="S175" s="130"/>
      <c r="U175" s="152">
        <v>44318</v>
      </c>
      <c r="V175" s="37"/>
      <c r="W175" s="80"/>
      <c r="Y175" s="117">
        <v>44318</v>
      </c>
      <c r="Z175" s="37"/>
      <c r="AA175" s="80"/>
      <c r="AC175" s="119">
        <v>44316</v>
      </c>
      <c r="AE175" s="80"/>
      <c r="AG175" s="118">
        <v>44315</v>
      </c>
      <c r="AH175" s="79">
        <v>8</v>
      </c>
      <c r="AI175" s="79"/>
      <c r="AK175" s="119">
        <v>44313</v>
      </c>
      <c r="AL175" s="79">
        <v>1</v>
      </c>
      <c r="AM175" s="149"/>
      <c r="AO175" s="156">
        <v>44320</v>
      </c>
      <c r="AQ175" s="118"/>
      <c r="AS175" s="156">
        <v>44320</v>
      </c>
      <c r="AT175">
        <v>36</v>
      </c>
      <c r="AU175" s="118"/>
      <c r="AW175" s="156">
        <v>44320</v>
      </c>
      <c r="AX175">
        <v>53</v>
      </c>
      <c r="AY175" s="118"/>
      <c r="BA175" s="156">
        <v>44320</v>
      </c>
      <c r="BB175" s="79">
        <v>70</v>
      </c>
      <c r="BC175" s="118"/>
      <c r="BE175" s="156">
        <v>44320</v>
      </c>
      <c r="BF175" s="79">
        <v>86</v>
      </c>
      <c r="BG175" s="118"/>
      <c r="BI175" s="156">
        <v>44320</v>
      </c>
      <c r="BK175" s="118"/>
      <c r="BM175" s="156">
        <v>44320</v>
      </c>
      <c r="BN175">
        <v>36</v>
      </c>
      <c r="BO175" s="118"/>
      <c r="BQ175" s="156">
        <v>44320</v>
      </c>
      <c r="BR175">
        <v>53</v>
      </c>
      <c r="BS175" s="118"/>
      <c r="BU175" s="156">
        <v>44320</v>
      </c>
      <c r="BV175" s="79">
        <v>70</v>
      </c>
      <c r="BW175" s="118"/>
      <c r="BY175" s="156">
        <v>44320</v>
      </c>
      <c r="BZ175" s="79">
        <v>86</v>
      </c>
      <c r="CA175" s="118"/>
    </row>
    <row r="176" spans="1:79">
      <c r="A176" s="138">
        <v>44319</v>
      </c>
      <c r="B176" s="120">
        <v>4</v>
      </c>
      <c r="C176" s="80"/>
      <c r="D176" s="119"/>
      <c r="E176" s="117">
        <v>44317</v>
      </c>
      <c r="F176" s="37"/>
      <c r="G176" s="120"/>
      <c r="H176" s="119"/>
      <c r="I176" s="118">
        <v>44314</v>
      </c>
      <c r="J176" s="79">
        <v>3</v>
      </c>
      <c r="K176" s="79"/>
      <c r="L176" s="119"/>
      <c r="M176" s="119"/>
      <c r="N176" s="118">
        <v>44312</v>
      </c>
      <c r="O176" s="79">
        <v>5</v>
      </c>
      <c r="P176" s="79">
        <v>1</v>
      </c>
      <c r="Q176" s="119"/>
      <c r="R176" s="79">
        <v>1</v>
      </c>
      <c r="S176" s="132"/>
      <c r="U176" s="161">
        <v>44319</v>
      </c>
      <c r="V176" s="120">
        <v>4</v>
      </c>
      <c r="W176" s="80"/>
      <c r="X176" s="119"/>
      <c r="Y176" s="80">
        <v>44319</v>
      </c>
      <c r="Z176" s="120">
        <v>7</v>
      </c>
      <c r="AA176" s="80"/>
      <c r="AC176" s="117">
        <v>44317</v>
      </c>
      <c r="AD176" s="37"/>
      <c r="AE176" s="80"/>
      <c r="AG176" s="119">
        <v>44316</v>
      </c>
      <c r="AI176" s="79"/>
      <c r="AK176" s="119">
        <v>44314</v>
      </c>
      <c r="AL176" s="79">
        <v>2</v>
      </c>
      <c r="AM176" s="149"/>
      <c r="AO176" s="156">
        <v>44321</v>
      </c>
      <c r="AQ176" s="118"/>
      <c r="AS176" s="156">
        <v>44321</v>
      </c>
      <c r="AU176" s="118"/>
      <c r="AW176" s="156">
        <v>44321</v>
      </c>
      <c r="AX176">
        <v>54</v>
      </c>
      <c r="AY176" s="118"/>
      <c r="BA176" s="156">
        <v>44321</v>
      </c>
      <c r="BB176" s="79">
        <v>71</v>
      </c>
      <c r="BC176" s="118"/>
      <c r="BE176" s="156">
        <v>44321</v>
      </c>
      <c r="BF176" s="79">
        <v>87</v>
      </c>
      <c r="BG176" s="118"/>
      <c r="BI176" s="156">
        <v>44321</v>
      </c>
      <c r="BK176" s="118"/>
      <c r="BM176" s="156">
        <v>44321</v>
      </c>
      <c r="BO176" s="118"/>
      <c r="BQ176" s="156">
        <v>44321</v>
      </c>
      <c r="BR176">
        <v>54</v>
      </c>
      <c r="BS176" s="118"/>
      <c r="BU176" s="156">
        <v>44321</v>
      </c>
      <c r="BV176" s="79">
        <v>71</v>
      </c>
      <c r="BW176" s="118"/>
      <c r="BY176" s="156">
        <v>44321</v>
      </c>
      <c r="BZ176" s="79">
        <v>87</v>
      </c>
      <c r="CA176" s="118"/>
    </row>
    <row r="177" spans="1:79">
      <c r="A177" s="133">
        <v>44320</v>
      </c>
      <c r="C177" s="80"/>
      <c r="D177" s="72"/>
      <c r="E177" s="117">
        <v>44318</v>
      </c>
      <c r="F177" s="37"/>
      <c r="G177" s="120"/>
      <c r="H177" s="72"/>
      <c r="I177" s="119">
        <v>44315</v>
      </c>
      <c r="K177" s="79"/>
      <c r="L177" s="122"/>
      <c r="M177" s="122"/>
      <c r="N177" s="118">
        <v>44313</v>
      </c>
      <c r="O177" s="79">
        <v>6</v>
      </c>
      <c r="P177" s="79">
        <v>2</v>
      </c>
      <c r="Q177" s="72"/>
      <c r="R177" s="121">
        <f>COUNTA(R149:R176)</f>
        <v>20</v>
      </c>
      <c r="S177" s="137">
        <f>IF(R177&lt;=$A$45,1,R177/$A$45)</f>
        <v>3.3333333333333335</v>
      </c>
      <c r="U177" s="156">
        <v>44320</v>
      </c>
      <c r="W177" s="80"/>
      <c r="X177" s="72"/>
      <c r="Y177" s="80">
        <v>44320</v>
      </c>
      <c r="Z177" s="120">
        <v>8</v>
      </c>
      <c r="AA177" s="80"/>
      <c r="AC177" s="117">
        <v>44318</v>
      </c>
      <c r="AD177" s="37"/>
      <c r="AE177" s="80"/>
      <c r="AG177" s="117">
        <v>44317</v>
      </c>
      <c r="AH177" s="37"/>
      <c r="AI177" s="79"/>
      <c r="AK177" s="119">
        <v>44315</v>
      </c>
      <c r="AL177" s="79">
        <v>3</v>
      </c>
      <c r="AM177" s="149"/>
      <c r="AO177" s="156">
        <v>44322</v>
      </c>
      <c r="AQ177" s="118"/>
      <c r="AR177" s="119"/>
      <c r="AS177" s="156">
        <v>44322</v>
      </c>
      <c r="AU177" s="118"/>
      <c r="AW177" s="156">
        <v>44322</v>
      </c>
      <c r="AY177" s="118"/>
      <c r="BA177" s="156">
        <v>44322</v>
      </c>
      <c r="BB177" s="79">
        <v>72</v>
      </c>
      <c r="BC177" s="118"/>
      <c r="BE177" s="156">
        <v>44322</v>
      </c>
      <c r="BF177" s="79">
        <v>88</v>
      </c>
      <c r="BG177" s="118"/>
      <c r="BI177" s="156">
        <v>44322</v>
      </c>
      <c r="BK177" s="118"/>
      <c r="BL177" s="119"/>
      <c r="BM177" s="156">
        <v>44322</v>
      </c>
      <c r="BO177" s="118"/>
      <c r="BQ177" s="156">
        <v>44322</v>
      </c>
      <c r="BS177" s="118"/>
      <c r="BU177" s="156">
        <v>44322</v>
      </c>
      <c r="BV177" s="79">
        <v>72</v>
      </c>
      <c r="BW177" s="118"/>
      <c r="BY177" s="156">
        <v>44322</v>
      </c>
      <c r="BZ177" s="79">
        <v>88</v>
      </c>
      <c r="CA177" s="118"/>
    </row>
    <row r="178" spans="1:79">
      <c r="A178" s="133">
        <v>44321</v>
      </c>
      <c r="C178" s="80"/>
      <c r="E178" s="80">
        <v>44319</v>
      </c>
      <c r="F178" s="120">
        <v>5</v>
      </c>
      <c r="G178" s="120"/>
      <c r="I178" s="119">
        <v>44316</v>
      </c>
      <c r="K178" s="79"/>
      <c r="N178" s="121" t="s">
        <v>85</v>
      </c>
      <c r="O178" s="121">
        <f>COUNTA(O169:O177)</f>
        <v>6</v>
      </c>
      <c r="P178" s="122">
        <f>IF(O178&lt;=$A$45,1,O178/$A$45)</f>
        <v>1</v>
      </c>
      <c r="R178" s="79">
        <v>2</v>
      </c>
      <c r="S178" s="134"/>
      <c r="U178" s="156">
        <v>44321</v>
      </c>
      <c r="W178" s="80"/>
      <c r="Y178" s="119">
        <v>44321</v>
      </c>
      <c r="AA178" s="80"/>
      <c r="AC178" s="80">
        <v>44319</v>
      </c>
      <c r="AD178" s="120">
        <v>3</v>
      </c>
      <c r="AE178" s="80"/>
      <c r="AG178" s="117">
        <v>44318</v>
      </c>
      <c r="AH178" s="37"/>
      <c r="AI178" s="79"/>
      <c r="AK178" s="119">
        <v>44316</v>
      </c>
      <c r="AL178" s="79">
        <v>4</v>
      </c>
      <c r="AM178" s="149"/>
      <c r="AO178" s="156">
        <v>44323</v>
      </c>
      <c r="AQ178" s="118"/>
      <c r="AR178" s="72"/>
      <c r="AS178" s="156">
        <v>44323</v>
      </c>
      <c r="AU178" s="118"/>
      <c r="AW178" s="156">
        <v>44323</v>
      </c>
      <c r="AY178" s="118"/>
      <c r="BA178" s="156">
        <v>44323</v>
      </c>
      <c r="BC178" s="118"/>
      <c r="BE178" s="156">
        <v>44323</v>
      </c>
      <c r="BF178" s="79">
        <v>89</v>
      </c>
      <c r="BG178" s="118"/>
      <c r="BI178" s="156">
        <v>44323</v>
      </c>
      <c r="BK178" s="118"/>
      <c r="BL178" s="72"/>
      <c r="BM178" s="156">
        <v>44323</v>
      </c>
      <c r="BO178" s="118"/>
      <c r="BQ178" s="156">
        <v>44323</v>
      </c>
      <c r="BS178" s="118"/>
      <c r="BU178" s="156">
        <v>44323</v>
      </c>
      <c r="BW178" s="118"/>
      <c r="BY178" s="156">
        <v>44323</v>
      </c>
      <c r="BZ178" s="79">
        <v>89</v>
      </c>
      <c r="CA178" s="118"/>
    </row>
    <row r="179" spans="1:79">
      <c r="A179" s="133">
        <v>44322</v>
      </c>
      <c r="C179" s="80"/>
      <c r="E179" s="80">
        <v>44320</v>
      </c>
      <c r="F179" s="120">
        <v>6</v>
      </c>
      <c r="G179" s="120"/>
      <c r="I179" s="117">
        <v>44317</v>
      </c>
      <c r="J179" s="37"/>
      <c r="K179" s="79"/>
      <c r="N179" s="80">
        <v>44314</v>
      </c>
      <c r="O179" s="120">
        <v>6</v>
      </c>
      <c r="P179" s="120">
        <v>3</v>
      </c>
      <c r="R179" s="79">
        <v>3</v>
      </c>
      <c r="S179" s="134"/>
      <c r="U179" s="156">
        <v>44322</v>
      </c>
      <c r="W179" s="80"/>
      <c r="Y179" s="119">
        <v>44322</v>
      </c>
      <c r="AA179" s="80"/>
      <c r="AC179" s="80">
        <v>44320</v>
      </c>
      <c r="AD179" s="120">
        <v>4</v>
      </c>
      <c r="AE179" s="80"/>
      <c r="AG179" s="118">
        <v>44319</v>
      </c>
      <c r="AH179" s="79">
        <v>9</v>
      </c>
      <c r="AI179" s="79"/>
      <c r="AK179" s="117">
        <v>44317</v>
      </c>
      <c r="AL179" s="37"/>
      <c r="AM179" s="149"/>
      <c r="AO179" s="152">
        <v>44324</v>
      </c>
      <c r="AP179" s="37"/>
      <c r="AQ179" s="118"/>
      <c r="AS179" s="152">
        <v>44324</v>
      </c>
      <c r="AT179" s="37"/>
      <c r="AU179" s="118"/>
      <c r="AW179" s="152">
        <v>44324</v>
      </c>
      <c r="AX179" s="37"/>
      <c r="AY179" s="118"/>
      <c r="BA179" s="152">
        <v>44324</v>
      </c>
      <c r="BB179" s="37"/>
      <c r="BC179" s="118"/>
      <c r="BE179" s="152">
        <v>44324</v>
      </c>
      <c r="BF179" s="37"/>
      <c r="BG179" s="118"/>
      <c r="BI179" s="152">
        <v>44324</v>
      </c>
      <c r="BJ179" s="37"/>
      <c r="BK179" s="118"/>
      <c r="BM179" s="152">
        <v>44324</v>
      </c>
      <c r="BN179" s="37"/>
      <c r="BO179" s="118"/>
      <c r="BQ179" s="152">
        <v>44324</v>
      </c>
      <c r="BR179" s="37"/>
      <c r="BS179" s="118"/>
      <c r="BU179" s="152">
        <v>44324</v>
      </c>
      <c r="BV179" s="37"/>
      <c r="BW179" s="118"/>
      <c r="BY179" s="152">
        <v>44324</v>
      </c>
      <c r="BZ179" s="37"/>
      <c r="CA179" s="118"/>
    </row>
    <row r="180" spans="1:79">
      <c r="A180" s="133">
        <v>44323</v>
      </c>
      <c r="C180" s="80"/>
      <c r="E180" s="121" t="s">
        <v>85</v>
      </c>
      <c r="F180" s="121">
        <f>COUNTA(F164:F179)</f>
        <v>6</v>
      </c>
      <c r="G180" s="122">
        <f>IF(F180&lt;=$A$45,1,F180/$A$45)</f>
        <v>1</v>
      </c>
      <c r="I180" s="117">
        <v>44318</v>
      </c>
      <c r="J180" s="37"/>
      <c r="K180" s="79"/>
      <c r="N180" s="80">
        <v>44315</v>
      </c>
      <c r="O180" s="120">
        <v>1</v>
      </c>
      <c r="P180" s="120">
        <v>4</v>
      </c>
      <c r="R180" s="79">
        <v>4</v>
      </c>
      <c r="S180" s="134"/>
      <c r="U180" s="156">
        <v>44323</v>
      </c>
      <c r="W180" s="80"/>
      <c r="Y180" s="119">
        <v>44323</v>
      </c>
      <c r="AA180" s="80"/>
      <c r="AC180" s="80">
        <v>44321</v>
      </c>
      <c r="AD180" s="120">
        <v>5</v>
      </c>
      <c r="AE180" s="80"/>
      <c r="AG180" s="118">
        <v>44320</v>
      </c>
      <c r="AH180" s="79">
        <v>10</v>
      </c>
      <c r="AI180" s="79"/>
      <c r="AK180" s="117">
        <v>44318</v>
      </c>
      <c r="AL180" s="37"/>
      <c r="AM180" s="149"/>
      <c r="AO180" s="152">
        <v>44325</v>
      </c>
      <c r="AP180" s="37"/>
      <c r="AQ180" s="118"/>
      <c r="AS180" s="152">
        <v>44325</v>
      </c>
      <c r="AT180" s="37"/>
      <c r="AU180" s="118"/>
      <c r="AW180" s="152">
        <v>44325</v>
      </c>
      <c r="AX180" s="37"/>
      <c r="AY180" s="118"/>
      <c r="BA180" s="152">
        <v>44325</v>
      </c>
      <c r="BB180" s="37"/>
      <c r="BC180" s="118"/>
      <c r="BE180" s="152">
        <v>44325</v>
      </c>
      <c r="BF180" s="37"/>
      <c r="BG180" s="118"/>
      <c r="BI180" s="152">
        <v>44325</v>
      </c>
      <c r="BJ180" s="37"/>
      <c r="BK180" s="118"/>
      <c r="BM180" s="152">
        <v>44325</v>
      </c>
      <c r="BN180" s="37"/>
      <c r="BO180" s="118"/>
      <c r="BQ180" s="152">
        <v>44325</v>
      </c>
      <c r="BR180" s="37"/>
      <c r="BS180" s="118"/>
      <c r="BU180" s="152">
        <v>44325</v>
      </c>
      <c r="BV180" s="37"/>
      <c r="BW180" s="118"/>
      <c r="BY180" s="152">
        <v>44325</v>
      </c>
      <c r="BZ180" s="37"/>
      <c r="CA180" s="118"/>
    </row>
    <row r="181" spans="1:79">
      <c r="A181" s="129">
        <v>44324</v>
      </c>
      <c r="B181" s="37"/>
      <c r="C181" s="80"/>
      <c r="E181" s="119">
        <v>44321</v>
      </c>
      <c r="I181" s="118">
        <v>44319</v>
      </c>
      <c r="J181" s="79">
        <v>4</v>
      </c>
      <c r="K181" s="79"/>
      <c r="N181" s="119">
        <v>44316</v>
      </c>
      <c r="R181" s="79">
        <v>5</v>
      </c>
      <c r="S181" s="134"/>
      <c r="U181" s="152">
        <v>44324</v>
      </c>
      <c r="V181" s="37"/>
      <c r="W181" s="80"/>
      <c r="Y181" s="117">
        <v>44324</v>
      </c>
      <c r="Z181" s="37"/>
      <c r="AA181" s="80"/>
      <c r="AC181" s="119">
        <v>44322</v>
      </c>
      <c r="AE181" s="80"/>
      <c r="AG181" s="121" t="s">
        <v>85</v>
      </c>
      <c r="AH181" s="121">
        <f>COUNTA(AH165:AH180)</f>
        <v>10</v>
      </c>
      <c r="AI181" s="122">
        <f>IF(AH181&lt;=$U$45,1,AH181/$U$45)</f>
        <v>1</v>
      </c>
      <c r="AK181" s="118">
        <v>44319</v>
      </c>
      <c r="AL181" s="79">
        <v>5</v>
      </c>
      <c r="AM181" s="149"/>
      <c r="AO181" s="154">
        <v>44326</v>
      </c>
      <c r="AP181" s="79">
        <v>19</v>
      </c>
      <c r="AQ181" s="118"/>
      <c r="AS181" s="154">
        <v>44326</v>
      </c>
      <c r="AT181" s="79">
        <v>37</v>
      </c>
      <c r="AU181" s="118"/>
      <c r="AW181" s="154">
        <v>44326</v>
      </c>
      <c r="AX181" s="79">
        <v>55</v>
      </c>
      <c r="AY181" s="118"/>
      <c r="BA181" s="154">
        <v>44326</v>
      </c>
      <c r="BB181" s="79">
        <v>73</v>
      </c>
      <c r="BC181" s="118"/>
      <c r="BE181" s="154">
        <v>44326</v>
      </c>
      <c r="BF181" s="79">
        <v>90</v>
      </c>
      <c r="BG181" s="118"/>
      <c r="BI181" s="154">
        <v>44326</v>
      </c>
      <c r="BJ181" s="79">
        <v>19</v>
      </c>
      <c r="BK181" s="118"/>
      <c r="BM181" s="154">
        <v>44326</v>
      </c>
      <c r="BN181" s="79">
        <v>37</v>
      </c>
      <c r="BO181" s="118"/>
      <c r="BQ181" s="154">
        <v>44326</v>
      </c>
      <c r="BR181" s="79">
        <v>55</v>
      </c>
      <c r="BS181" s="118"/>
      <c r="BU181" s="154">
        <v>44326</v>
      </c>
      <c r="BV181" s="79">
        <v>73</v>
      </c>
      <c r="BW181" s="118"/>
      <c r="BY181" s="154">
        <v>44326</v>
      </c>
      <c r="BZ181" s="79">
        <v>90</v>
      </c>
      <c r="CA181" s="118"/>
    </row>
    <row r="182" spans="1:79">
      <c r="A182" s="129">
        <v>44325</v>
      </c>
      <c r="B182" s="37"/>
      <c r="C182" s="80"/>
      <c r="E182" s="119">
        <v>44322</v>
      </c>
      <c r="I182" s="118">
        <v>44320</v>
      </c>
      <c r="J182" s="79">
        <v>5</v>
      </c>
      <c r="K182" s="79"/>
      <c r="L182" s="37"/>
      <c r="M182" s="37"/>
      <c r="N182" s="117">
        <v>44317</v>
      </c>
      <c r="O182" s="37"/>
      <c r="P182" s="37"/>
      <c r="R182" s="37"/>
      <c r="S182" s="130"/>
      <c r="U182" s="152">
        <v>44325</v>
      </c>
      <c r="V182" s="37"/>
      <c r="W182" s="80"/>
      <c r="Y182" s="117">
        <v>44325</v>
      </c>
      <c r="Z182" s="37"/>
      <c r="AA182" s="80"/>
      <c r="AC182" s="119">
        <v>44323</v>
      </c>
      <c r="AE182" s="80"/>
      <c r="AG182" s="80">
        <v>44321</v>
      </c>
      <c r="AH182" s="120">
        <v>1</v>
      </c>
      <c r="AI182" s="80"/>
      <c r="AK182" s="119">
        <v>44320</v>
      </c>
      <c r="AL182" s="79">
        <v>6</v>
      </c>
      <c r="AM182" s="149"/>
      <c r="AO182" s="156">
        <v>44327</v>
      </c>
      <c r="AQ182" s="118"/>
      <c r="AS182" s="156">
        <v>44327</v>
      </c>
      <c r="AT182">
        <v>38</v>
      </c>
      <c r="AU182" s="118"/>
      <c r="AW182" s="156">
        <v>44327</v>
      </c>
      <c r="AX182">
        <v>56</v>
      </c>
      <c r="AY182" s="118"/>
      <c r="BA182" s="156">
        <v>44327</v>
      </c>
      <c r="BB182" s="79">
        <v>74</v>
      </c>
      <c r="BC182" s="118"/>
      <c r="BE182" s="156">
        <v>44327</v>
      </c>
      <c r="BF182" s="79">
        <v>91</v>
      </c>
      <c r="BG182" s="118"/>
      <c r="BI182" s="156">
        <v>44327</v>
      </c>
      <c r="BK182" s="118"/>
      <c r="BM182" s="156">
        <v>44327</v>
      </c>
      <c r="BN182">
        <v>38</v>
      </c>
      <c r="BO182" s="118"/>
      <c r="BQ182" s="156">
        <v>44327</v>
      </c>
      <c r="BR182">
        <v>56</v>
      </c>
      <c r="BS182" s="118"/>
      <c r="BU182" s="156">
        <v>44327</v>
      </c>
      <c r="BV182" s="79">
        <v>74</v>
      </c>
      <c r="BW182" s="118"/>
      <c r="BY182" s="156">
        <v>44327</v>
      </c>
      <c r="BZ182" s="79">
        <v>91</v>
      </c>
      <c r="CA182" s="118"/>
    </row>
    <row r="183" spans="1:79">
      <c r="A183" s="138">
        <v>44326</v>
      </c>
      <c r="B183" s="120">
        <v>5</v>
      </c>
      <c r="C183" s="80"/>
      <c r="E183" s="119">
        <v>44323</v>
      </c>
      <c r="I183" s="118">
        <v>44321</v>
      </c>
      <c r="J183" s="79">
        <v>6</v>
      </c>
      <c r="K183" s="79"/>
      <c r="L183" s="37"/>
      <c r="M183" s="37"/>
      <c r="N183" s="117">
        <v>44318</v>
      </c>
      <c r="O183" s="37"/>
      <c r="P183" s="37"/>
      <c r="R183" s="37"/>
      <c r="S183" s="130"/>
      <c r="U183" s="161">
        <v>44326</v>
      </c>
      <c r="V183" s="120">
        <v>5</v>
      </c>
      <c r="W183" s="80"/>
      <c r="Y183" s="80">
        <v>44326</v>
      </c>
      <c r="Z183" s="120">
        <v>9</v>
      </c>
      <c r="AA183" s="80"/>
      <c r="AC183" s="117">
        <v>44324</v>
      </c>
      <c r="AD183" s="37"/>
      <c r="AE183" s="80"/>
      <c r="AG183" s="80">
        <v>44322</v>
      </c>
      <c r="AH183" s="120">
        <v>2</v>
      </c>
      <c r="AI183" s="80"/>
      <c r="AK183" s="119">
        <v>44321</v>
      </c>
      <c r="AL183" s="79">
        <v>7</v>
      </c>
      <c r="AM183" s="149"/>
      <c r="AO183" s="156">
        <v>44328</v>
      </c>
      <c r="AQ183" s="118"/>
      <c r="AS183" s="156">
        <v>44328</v>
      </c>
      <c r="AU183" s="118"/>
      <c r="AW183" s="156">
        <v>44328</v>
      </c>
      <c r="AX183">
        <v>57</v>
      </c>
      <c r="AY183" s="118"/>
      <c r="BA183" s="156">
        <v>44328</v>
      </c>
      <c r="BB183" s="79">
        <v>75</v>
      </c>
      <c r="BC183" s="118"/>
      <c r="BE183" s="156">
        <v>44328</v>
      </c>
      <c r="BF183" s="79">
        <v>92</v>
      </c>
      <c r="BG183" s="118"/>
      <c r="BI183" s="156">
        <v>44328</v>
      </c>
      <c r="BK183" s="118"/>
      <c r="BM183" s="156">
        <v>44328</v>
      </c>
      <c r="BO183" s="118"/>
      <c r="BQ183" s="156">
        <v>44328</v>
      </c>
      <c r="BR183">
        <v>57</v>
      </c>
      <c r="BS183" s="118"/>
      <c r="BU183" s="156">
        <v>44328</v>
      </c>
      <c r="BV183" s="79">
        <v>75</v>
      </c>
      <c r="BW183" s="118"/>
      <c r="BY183" s="156">
        <v>44328</v>
      </c>
      <c r="BZ183" s="79">
        <v>92</v>
      </c>
      <c r="CA183" s="118"/>
    </row>
    <row r="184" spans="1:79">
      <c r="A184" s="133">
        <v>44327</v>
      </c>
      <c r="C184" s="80"/>
      <c r="E184" s="117">
        <v>44324</v>
      </c>
      <c r="F184" s="37"/>
      <c r="G184" s="37"/>
      <c r="I184" s="121" t="s">
        <v>85</v>
      </c>
      <c r="J184" s="121">
        <f>COUNTA(J174:J183)</f>
        <v>6</v>
      </c>
      <c r="K184" s="122">
        <f>IF(J184&lt;=$A$45,1,J184/$A$45)</f>
        <v>1</v>
      </c>
      <c r="L184" s="119"/>
      <c r="M184" s="119"/>
      <c r="N184" s="80">
        <v>44319</v>
      </c>
      <c r="O184" s="120">
        <v>2</v>
      </c>
      <c r="P184" s="120">
        <v>1</v>
      </c>
      <c r="R184" s="79">
        <v>6</v>
      </c>
      <c r="S184" s="134"/>
      <c r="U184" s="156">
        <v>44327</v>
      </c>
      <c r="W184" s="80"/>
      <c r="X184" s="119"/>
      <c r="Y184" s="80">
        <v>44327</v>
      </c>
      <c r="Z184" s="120">
        <v>10</v>
      </c>
      <c r="AA184" s="80"/>
      <c r="AC184" s="117">
        <v>44325</v>
      </c>
      <c r="AD184" s="37"/>
      <c r="AE184" s="80"/>
      <c r="AG184" s="119">
        <v>44323</v>
      </c>
      <c r="AI184" s="80"/>
      <c r="AK184" s="119">
        <v>44322</v>
      </c>
      <c r="AL184" s="146">
        <v>8</v>
      </c>
      <c r="AM184" s="162"/>
      <c r="AO184" s="152">
        <v>44329</v>
      </c>
      <c r="AP184" s="37"/>
      <c r="AQ184" s="118"/>
      <c r="AS184" s="152">
        <v>44329</v>
      </c>
      <c r="AT184" s="37"/>
      <c r="AU184" s="118"/>
      <c r="AW184" s="152">
        <v>44329</v>
      </c>
      <c r="AX184" s="37"/>
      <c r="AY184" s="118"/>
      <c r="BA184" s="152">
        <v>44329</v>
      </c>
      <c r="BB184" s="37"/>
      <c r="BC184" s="118"/>
      <c r="BE184" s="152">
        <v>44329</v>
      </c>
      <c r="BF184" s="37"/>
      <c r="BG184" s="118"/>
      <c r="BI184" s="152">
        <v>44329</v>
      </c>
      <c r="BJ184" s="37"/>
      <c r="BK184" s="118"/>
      <c r="BM184" s="152">
        <v>44329</v>
      </c>
      <c r="BN184" s="37"/>
      <c r="BO184" s="118"/>
      <c r="BQ184" s="152">
        <v>44329</v>
      </c>
      <c r="BR184" s="37"/>
      <c r="BS184" s="118"/>
      <c r="BU184" s="152">
        <v>44329</v>
      </c>
      <c r="BV184" s="37"/>
      <c r="BW184" s="118"/>
      <c r="BY184" s="152">
        <v>44329</v>
      </c>
      <c r="BZ184" s="37"/>
      <c r="CA184" s="118"/>
    </row>
    <row r="185" spans="1:79">
      <c r="A185" s="136" t="s">
        <v>85</v>
      </c>
      <c r="B185" s="121">
        <f>COUNTA(B155:B184)</f>
        <v>5</v>
      </c>
      <c r="C185" s="122">
        <f>IF(B185&lt;=$A$45,1,B185/$A$45)</f>
        <v>1</v>
      </c>
      <c r="D185" s="119"/>
      <c r="E185" s="117">
        <v>44325</v>
      </c>
      <c r="F185" s="37"/>
      <c r="G185" s="37"/>
      <c r="H185" s="119"/>
      <c r="I185" s="119">
        <v>44322</v>
      </c>
      <c r="L185" s="119"/>
      <c r="M185" s="119"/>
      <c r="N185" s="80">
        <v>44320</v>
      </c>
      <c r="O185" s="120">
        <v>3</v>
      </c>
      <c r="P185" s="120">
        <v>2</v>
      </c>
      <c r="Q185" s="119"/>
      <c r="R185" s="120">
        <v>1</v>
      </c>
      <c r="S185" s="135"/>
      <c r="U185" s="160" t="s">
        <v>85</v>
      </c>
      <c r="V185" s="121">
        <f>COUNTA(V155:V184)</f>
        <v>5</v>
      </c>
      <c r="W185" s="122">
        <f>IF(V185&lt;=$U$45,1,V185/$U$45)</f>
        <v>1</v>
      </c>
      <c r="X185" s="119"/>
      <c r="Y185" s="121" t="s">
        <v>85</v>
      </c>
      <c r="Z185" s="121">
        <f>COUNTA(Z155:Z184)</f>
        <v>10</v>
      </c>
      <c r="AA185" s="122">
        <f>IF(Z185&lt;=$U$45,1,Z185/$U$45)</f>
        <v>1</v>
      </c>
      <c r="AC185" s="80">
        <v>44326</v>
      </c>
      <c r="AD185" s="120">
        <v>6</v>
      </c>
      <c r="AE185" s="80"/>
      <c r="AG185" s="117">
        <v>44324</v>
      </c>
      <c r="AH185" s="37"/>
      <c r="AI185" s="80"/>
      <c r="AK185" s="119">
        <v>44323</v>
      </c>
      <c r="AL185" s="79">
        <v>9</v>
      </c>
      <c r="AM185" s="162"/>
      <c r="AO185" s="156">
        <v>44330</v>
      </c>
      <c r="AQ185" s="118"/>
      <c r="AR185" s="119"/>
      <c r="AS185" s="156">
        <v>44330</v>
      </c>
      <c r="AU185" s="118"/>
      <c r="AW185" s="156">
        <v>44330</v>
      </c>
      <c r="AY185" s="118"/>
      <c r="BA185" s="156">
        <v>44330</v>
      </c>
      <c r="BB185" s="79">
        <v>76</v>
      </c>
      <c r="BC185" s="118"/>
      <c r="BE185" s="156">
        <v>44330</v>
      </c>
      <c r="BF185" s="79">
        <v>93</v>
      </c>
      <c r="BG185" s="118"/>
      <c r="BI185" s="156">
        <v>44330</v>
      </c>
      <c r="BK185" s="118"/>
      <c r="BL185" s="119"/>
      <c r="BM185" s="156">
        <v>44330</v>
      </c>
      <c r="BO185" s="118"/>
      <c r="BQ185" s="156">
        <v>44330</v>
      </c>
      <c r="BS185" s="118"/>
      <c r="BU185" s="156">
        <v>44330</v>
      </c>
      <c r="BV185" s="79">
        <v>76</v>
      </c>
      <c r="BW185" s="118"/>
      <c r="BY185" s="156">
        <v>44330</v>
      </c>
      <c r="BZ185" s="79">
        <v>93</v>
      </c>
      <c r="CA185" s="118"/>
    </row>
    <row r="186" spans="1:79">
      <c r="A186" s="133">
        <v>44328</v>
      </c>
      <c r="E186" s="118">
        <v>44326</v>
      </c>
      <c r="F186" s="79">
        <v>1</v>
      </c>
      <c r="G186" s="118"/>
      <c r="I186" s="119">
        <v>44323</v>
      </c>
      <c r="N186" s="80">
        <v>44321</v>
      </c>
      <c r="O186" s="120">
        <v>4</v>
      </c>
      <c r="P186" s="120">
        <v>3</v>
      </c>
      <c r="R186" s="120">
        <v>2</v>
      </c>
      <c r="S186" s="125"/>
      <c r="U186" s="156">
        <v>44328</v>
      </c>
      <c r="Y186" s="119">
        <v>44328</v>
      </c>
      <c r="AC186" s="80">
        <v>44327</v>
      </c>
      <c r="AD186" s="120">
        <v>7</v>
      </c>
      <c r="AE186" s="80"/>
      <c r="AG186" s="117">
        <v>44325</v>
      </c>
      <c r="AH186" s="37"/>
      <c r="AI186" s="80"/>
      <c r="AK186" s="117">
        <v>44324</v>
      </c>
      <c r="AL186" s="37"/>
      <c r="AM186" s="162"/>
      <c r="AO186" s="152">
        <v>44331</v>
      </c>
      <c r="AP186" s="37"/>
      <c r="AQ186" s="118"/>
      <c r="AR186" s="119"/>
      <c r="AS186" s="152">
        <v>44331</v>
      </c>
      <c r="AT186" s="37"/>
      <c r="AU186" s="118"/>
      <c r="AW186" s="152">
        <v>44331</v>
      </c>
      <c r="AX186" s="37"/>
      <c r="AY186" s="118"/>
      <c r="BA186" s="152">
        <v>44331</v>
      </c>
      <c r="BB186" s="37"/>
      <c r="BC186" s="118"/>
      <c r="BE186" s="152">
        <v>44331</v>
      </c>
      <c r="BF186" s="37"/>
      <c r="BG186" s="118"/>
      <c r="BI186" s="152">
        <v>44331</v>
      </c>
      <c r="BJ186" s="37"/>
      <c r="BK186" s="118"/>
      <c r="BL186" s="119"/>
      <c r="BM186" s="152">
        <v>44331</v>
      </c>
      <c r="BN186" s="37"/>
      <c r="BO186" s="118"/>
      <c r="BQ186" s="152">
        <v>44331</v>
      </c>
      <c r="BR186" s="37"/>
      <c r="BS186" s="118"/>
      <c r="BU186" s="152">
        <v>44331</v>
      </c>
      <c r="BV186" s="37"/>
      <c r="BW186" s="118"/>
      <c r="BY186" s="152">
        <v>44331</v>
      </c>
      <c r="BZ186" s="37"/>
      <c r="CA186" s="118"/>
    </row>
    <row r="187" spans="1:79">
      <c r="A187" s="129">
        <v>44329</v>
      </c>
      <c r="B187" s="117"/>
      <c r="C187" s="117"/>
      <c r="E187" s="118">
        <v>44327</v>
      </c>
      <c r="F187" s="79">
        <v>2</v>
      </c>
      <c r="G187" s="118"/>
      <c r="I187" s="117">
        <v>44324</v>
      </c>
      <c r="J187" s="37"/>
      <c r="K187" s="37"/>
      <c r="L187" s="37"/>
      <c r="M187" s="37"/>
      <c r="N187" s="80">
        <v>44322</v>
      </c>
      <c r="O187" s="120">
        <v>5</v>
      </c>
      <c r="P187" s="120">
        <v>4</v>
      </c>
      <c r="R187" s="37"/>
      <c r="S187" s="130"/>
      <c r="U187" s="152">
        <v>44329</v>
      </c>
      <c r="V187" s="37"/>
      <c r="Y187" s="117">
        <v>44329</v>
      </c>
      <c r="Z187" s="37"/>
      <c r="AA187" s="37"/>
      <c r="AC187" s="80">
        <v>44328</v>
      </c>
      <c r="AD187" s="120">
        <v>8</v>
      </c>
      <c r="AE187" s="80"/>
      <c r="AG187" s="80">
        <v>44326</v>
      </c>
      <c r="AH187" s="120">
        <v>3</v>
      </c>
      <c r="AI187" s="80"/>
      <c r="AK187" s="117">
        <v>44325</v>
      </c>
      <c r="AL187" s="37"/>
      <c r="AM187" s="162"/>
      <c r="AO187" s="152">
        <v>44332</v>
      </c>
      <c r="AP187" s="37"/>
      <c r="AQ187" s="118"/>
      <c r="AS187" s="152">
        <v>44332</v>
      </c>
      <c r="AT187" s="37"/>
      <c r="AU187" s="118"/>
      <c r="AW187" s="152">
        <v>44332</v>
      </c>
      <c r="AX187" s="37"/>
      <c r="AY187" s="118"/>
      <c r="BA187" s="152">
        <v>44332</v>
      </c>
      <c r="BB187" s="37"/>
      <c r="BC187" s="118"/>
      <c r="BE187" s="152">
        <v>44332</v>
      </c>
      <c r="BF187" s="37"/>
      <c r="BG187" s="118"/>
      <c r="BI187" s="152">
        <v>44332</v>
      </c>
      <c r="BJ187" s="37"/>
      <c r="BK187" s="118"/>
      <c r="BM187" s="152">
        <v>44332</v>
      </c>
      <c r="BN187" s="37"/>
      <c r="BO187" s="118"/>
      <c r="BQ187" s="152">
        <v>44332</v>
      </c>
      <c r="BR187" s="37"/>
      <c r="BS187" s="118"/>
      <c r="BU187" s="152">
        <v>44332</v>
      </c>
      <c r="BV187" s="37"/>
      <c r="BW187" s="118"/>
      <c r="BY187" s="152">
        <v>44332</v>
      </c>
      <c r="BZ187" s="37"/>
      <c r="CA187" s="118"/>
    </row>
    <row r="188" spans="1:79">
      <c r="A188" s="133">
        <v>44330</v>
      </c>
      <c r="E188" s="119">
        <v>44328</v>
      </c>
      <c r="G188" s="118"/>
      <c r="I188" s="117">
        <v>44325</v>
      </c>
      <c r="J188" s="37"/>
      <c r="K188" s="37"/>
      <c r="N188" s="119">
        <v>44323</v>
      </c>
      <c r="R188" s="120">
        <v>3</v>
      </c>
      <c r="S188" s="125"/>
      <c r="U188" s="156">
        <v>44330</v>
      </c>
      <c r="Y188" s="119">
        <v>44330</v>
      </c>
      <c r="AC188" s="117">
        <v>44329</v>
      </c>
      <c r="AD188" s="37"/>
      <c r="AE188" s="80"/>
      <c r="AG188" s="80">
        <v>44327</v>
      </c>
      <c r="AH188" s="120">
        <v>4</v>
      </c>
      <c r="AI188" s="80"/>
      <c r="AK188" s="118">
        <v>44326</v>
      </c>
      <c r="AL188" s="146">
        <v>10</v>
      </c>
      <c r="AM188" s="162"/>
      <c r="AO188" s="154">
        <v>44333</v>
      </c>
      <c r="AP188" s="79">
        <v>20</v>
      </c>
      <c r="AQ188" s="118"/>
      <c r="AS188" s="154">
        <v>44333</v>
      </c>
      <c r="AT188" s="79">
        <v>39</v>
      </c>
      <c r="AU188" s="118"/>
      <c r="AW188" s="154">
        <v>44333</v>
      </c>
      <c r="AX188" s="79">
        <v>58</v>
      </c>
      <c r="AY188" s="118"/>
      <c r="BA188" s="154">
        <v>44333</v>
      </c>
      <c r="BB188" s="79">
        <v>77</v>
      </c>
      <c r="BC188" s="118"/>
      <c r="BE188" s="154">
        <v>44333</v>
      </c>
      <c r="BF188" s="79">
        <v>94</v>
      </c>
      <c r="BG188" s="118"/>
      <c r="BI188" s="154">
        <v>44333</v>
      </c>
      <c r="BJ188" s="79">
        <v>20</v>
      </c>
      <c r="BK188" s="118"/>
      <c r="BM188" s="154">
        <v>44333</v>
      </c>
      <c r="BN188" s="79">
        <v>39</v>
      </c>
      <c r="BO188" s="118"/>
      <c r="BQ188" s="154">
        <v>44333</v>
      </c>
      <c r="BR188" s="79">
        <v>58</v>
      </c>
      <c r="BS188" s="118"/>
      <c r="BU188" s="154">
        <v>44333</v>
      </c>
      <c r="BV188" s="79">
        <v>77</v>
      </c>
      <c r="BW188" s="118"/>
      <c r="BY188" s="154">
        <v>44333</v>
      </c>
      <c r="BZ188" s="79">
        <v>94</v>
      </c>
      <c r="CA188" s="118"/>
    </row>
    <row r="189" spans="1:79">
      <c r="A189" s="129">
        <v>44331</v>
      </c>
      <c r="B189" s="117"/>
      <c r="C189" s="117"/>
      <c r="E189" s="117">
        <v>44329</v>
      </c>
      <c r="F189" s="37"/>
      <c r="G189" s="118"/>
      <c r="I189" s="119">
        <v>44326</v>
      </c>
      <c r="J189" s="120">
        <v>1</v>
      </c>
      <c r="K189" s="80"/>
      <c r="L189" s="37"/>
      <c r="M189" s="37"/>
      <c r="N189" s="117">
        <v>44324</v>
      </c>
      <c r="O189" s="37"/>
      <c r="P189" s="37"/>
      <c r="R189" s="37"/>
      <c r="S189" s="130"/>
      <c r="U189" s="152">
        <v>44331</v>
      </c>
      <c r="V189" s="37"/>
      <c r="Y189" s="117">
        <v>44331</v>
      </c>
      <c r="Z189" s="37"/>
      <c r="AA189" s="37"/>
      <c r="AC189" s="119">
        <v>44330</v>
      </c>
      <c r="AE189" s="80"/>
      <c r="AG189" s="80">
        <v>44328</v>
      </c>
      <c r="AH189" s="120">
        <v>5</v>
      </c>
      <c r="AI189" s="80"/>
      <c r="AK189" s="121" t="s">
        <v>85</v>
      </c>
      <c r="AL189" s="121">
        <f>COUNTA(AL175:AL188)</f>
        <v>10</v>
      </c>
      <c r="AM189" s="158">
        <f>IF(AL189&lt;=$U$45,1,AL189/$U$45)</f>
        <v>1</v>
      </c>
      <c r="AO189" s="156">
        <v>44334</v>
      </c>
      <c r="AQ189" s="118"/>
      <c r="AS189" s="156">
        <v>44334</v>
      </c>
      <c r="AT189">
        <v>40</v>
      </c>
      <c r="AU189" s="118"/>
      <c r="AW189" s="156">
        <v>44334</v>
      </c>
      <c r="AX189">
        <v>59</v>
      </c>
      <c r="AY189" s="118"/>
      <c r="BA189" s="156">
        <v>44334</v>
      </c>
      <c r="BB189" s="79">
        <v>78</v>
      </c>
      <c r="BC189" s="118"/>
      <c r="BE189" s="156">
        <v>44334</v>
      </c>
      <c r="BF189" s="79">
        <v>95</v>
      </c>
      <c r="BG189" s="118"/>
      <c r="BI189" s="156">
        <v>44334</v>
      </c>
      <c r="BK189" s="118"/>
      <c r="BM189" s="156">
        <v>44334</v>
      </c>
      <c r="BN189">
        <v>40</v>
      </c>
      <c r="BO189" s="118"/>
      <c r="BQ189" s="156">
        <v>44334</v>
      </c>
      <c r="BR189">
        <v>59</v>
      </c>
      <c r="BS189" s="118"/>
      <c r="BU189" s="156">
        <v>44334</v>
      </c>
      <c r="BV189" s="79">
        <v>78</v>
      </c>
      <c r="BW189" s="118"/>
      <c r="BY189" s="156">
        <v>44334</v>
      </c>
      <c r="BZ189" s="79">
        <v>95</v>
      </c>
      <c r="CA189" s="118"/>
    </row>
    <row r="190" spans="1:79">
      <c r="A190" s="129">
        <v>44332</v>
      </c>
      <c r="B190" s="117"/>
      <c r="C190" s="117"/>
      <c r="E190" s="119">
        <v>44330</v>
      </c>
      <c r="G190" s="118"/>
      <c r="I190" s="119">
        <v>44327</v>
      </c>
      <c r="J190" s="120">
        <v>2</v>
      </c>
      <c r="K190" s="80"/>
      <c r="L190" s="37"/>
      <c r="M190" s="37"/>
      <c r="N190" s="117">
        <v>44325</v>
      </c>
      <c r="O190" s="37"/>
      <c r="P190" s="37"/>
      <c r="R190" s="37"/>
      <c r="S190" s="130"/>
      <c r="U190" s="152">
        <v>44332</v>
      </c>
      <c r="V190" s="37"/>
      <c r="Y190" s="117">
        <v>44332</v>
      </c>
      <c r="Z190" s="37"/>
      <c r="AA190" s="37"/>
      <c r="AC190" s="117">
        <v>44331</v>
      </c>
      <c r="AD190" s="37"/>
      <c r="AE190" s="80"/>
      <c r="AG190" s="117">
        <v>44329</v>
      </c>
      <c r="AH190" s="37"/>
      <c r="AI190" s="80"/>
      <c r="AK190" s="119">
        <v>44327</v>
      </c>
      <c r="AL190" s="146">
        <v>1</v>
      </c>
      <c r="AM190" s="162"/>
      <c r="AO190" s="156">
        <v>44335</v>
      </c>
      <c r="AQ190" s="118"/>
      <c r="AS190" s="156">
        <v>44335</v>
      </c>
      <c r="AU190" s="118"/>
      <c r="AW190" s="156">
        <v>44335</v>
      </c>
      <c r="AX190">
        <v>60</v>
      </c>
      <c r="AY190" s="118"/>
      <c r="BA190" s="156">
        <v>44335</v>
      </c>
      <c r="BB190" s="79">
        <v>79</v>
      </c>
      <c r="BC190" s="118"/>
      <c r="BE190" s="156">
        <v>44335</v>
      </c>
      <c r="BF190" s="79">
        <v>96</v>
      </c>
      <c r="BG190" s="118"/>
      <c r="BI190" s="156">
        <v>44335</v>
      </c>
      <c r="BK190" s="118"/>
      <c r="BM190" s="156">
        <v>44335</v>
      </c>
      <c r="BO190" s="118"/>
      <c r="BQ190" s="156">
        <v>44335</v>
      </c>
      <c r="BR190">
        <v>60</v>
      </c>
      <c r="BS190" s="118"/>
      <c r="BU190" s="156">
        <v>44335</v>
      </c>
      <c r="BV190" s="79">
        <v>79</v>
      </c>
      <c r="BW190" s="118"/>
      <c r="BY190" s="156">
        <v>44335</v>
      </c>
      <c r="BZ190" s="79">
        <v>96</v>
      </c>
      <c r="CA190" s="118"/>
    </row>
    <row r="191" spans="1:79">
      <c r="A191" s="131">
        <v>44333</v>
      </c>
      <c r="B191" s="79">
        <v>1</v>
      </c>
      <c r="C191" s="118">
        <f>EDATE($A191,1)-1</f>
        <v>44363</v>
      </c>
      <c r="D191" s="119"/>
      <c r="E191" s="117">
        <v>44331</v>
      </c>
      <c r="F191" s="37"/>
      <c r="G191" s="118"/>
      <c r="H191" s="119"/>
      <c r="I191" s="119">
        <v>44328</v>
      </c>
      <c r="J191" s="120">
        <v>3</v>
      </c>
      <c r="K191" s="80"/>
      <c r="N191" s="80">
        <v>44326</v>
      </c>
      <c r="O191" s="120">
        <v>6</v>
      </c>
      <c r="P191" s="120">
        <v>1</v>
      </c>
      <c r="Q191" s="119"/>
      <c r="R191" s="120">
        <v>4</v>
      </c>
      <c r="S191" s="125"/>
      <c r="U191" s="154">
        <v>44333</v>
      </c>
      <c r="V191" s="79">
        <v>1</v>
      </c>
      <c r="W191" s="118">
        <f>EDATE($U191,1)-$W$49</f>
        <v>44363</v>
      </c>
      <c r="X191" s="119"/>
      <c r="Y191" s="118">
        <v>44333</v>
      </c>
      <c r="Z191" s="79">
        <v>1</v>
      </c>
      <c r="AA191" s="118">
        <f>EDATE(Y191,1)-1</f>
        <v>44363</v>
      </c>
      <c r="AC191" s="117">
        <v>44332</v>
      </c>
      <c r="AD191" s="37"/>
      <c r="AE191" s="80"/>
      <c r="AG191" s="80">
        <v>44330</v>
      </c>
      <c r="AH191" s="120">
        <v>6</v>
      </c>
      <c r="AI191" s="80"/>
      <c r="AK191" s="119">
        <v>44328</v>
      </c>
      <c r="AL191" s="146">
        <v>2</v>
      </c>
      <c r="AM191" s="162"/>
      <c r="AO191" s="156">
        <v>44336</v>
      </c>
      <c r="AQ191" s="118"/>
      <c r="AS191" s="156">
        <v>44336</v>
      </c>
      <c r="AU191" s="118"/>
      <c r="AW191" s="156">
        <v>44336</v>
      </c>
      <c r="AY191" s="118"/>
      <c r="BA191" s="156">
        <v>44336</v>
      </c>
      <c r="BB191" s="79">
        <v>80</v>
      </c>
      <c r="BC191" s="118"/>
      <c r="BE191" s="156">
        <v>44336</v>
      </c>
      <c r="BF191" s="79">
        <v>97</v>
      </c>
      <c r="BG191" s="118"/>
      <c r="BI191" s="156">
        <v>44336</v>
      </c>
      <c r="BK191" s="118"/>
      <c r="BM191" s="156">
        <v>44336</v>
      </c>
      <c r="BO191" s="118"/>
      <c r="BQ191" s="156">
        <v>44336</v>
      </c>
      <c r="BS191" s="118"/>
      <c r="BU191" s="156">
        <v>44336</v>
      </c>
      <c r="BV191" s="79">
        <v>80</v>
      </c>
      <c r="BW191" s="118"/>
      <c r="BY191" s="156">
        <v>44336</v>
      </c>
      <c r="BZ191" s="79">
        <v>97</v>
      </c>
      <c r="CA191" s="118"/>
    </row>
    <row r="192" spans="1:79">
      <c r="A192" s="133">
        <v>44334</v>
      </c>
      <c r="C192" s="79"/>
      <c r="E192" s="117">
        <v>44332</v>
      </c>
      <c r="F192" s="37"/>
      <c r="G192" s="118"/>
      <c r="I192" s="117">
        <v>44329</v>
      </c>
      <c r="J192" s="37"/>
      <c r="K192" s="80"/>
      <c r="N192" s="121" t="s">
        <v>85</v>
      </c>
      <c r="O192" s="121">
        <f>COUNTA(O180:O191)</f>
        <v>6</v>
      </c>
      <c r="P192" s="122">
        <f>IF(O192&lt;=$A$45,1,O192/$A$45)</f>
        <v>1</v>
      </c>
      <c r="R192" s="120">
        <v>5</v>
      </c>
      <c r="S192" s="125"/>
      <c r="U192" s="156">
        <v>44334</v>
      </c>
      <c r="W192" s="79"/>
      <c r="Y192" s="118">
        <v>44334</v>
      </c>
      <c r="Z192" s="79">
        <v>2</v>
      </c>
      <c r="AA192" s="79"/>
      <c r="AC192" s="80">
        <v>44333</v>
      </c>
      <c r="AD192" s="120">
        <v>9</v>
      </c>
      <c r="AE192" s="80"/>
      <c r="AG192" s="117">
        <v>44331</v>
      </c>
      <c r="AH192" s="37"/>
      <c r="AI192" s="80"/>
      <c r="AK192" s="117">
        <v>44329</v>
      </c>
      <c r="AL192" s="37"/>
      <c r="AM192" s="162"/>
      <c r="AO192" s="156">
        <v>44337</v>
      </c>
      <c r="AQ192" s="118"/>
      <c r="AR192" s="119"/>
      <c r="AS192" s="156">
        <v>44337</v>
      </c>
      <c r="AU192" s="118"/>
      <c r="AW192" s="156">
        <v>44337</v>
      </c>
      <c r="AY192" s="118"/>
      <c r="BA192" s="156">
        <v>44337</v>
      </c>
      <c r="BC192" s="118"/>
      <c r="BE192" s="156">
        <v>44337</v>
      </c>
      <c r="BF192" s="79">
        <v>98</v>
      </c>
      <c r="BG192" s="118"/>
      <c r="BI192" s="156">
        <v>44337</v>
      </c>
      <c r="BK192" s="118"/>
      <c r="BL192" s="119"/>
      <c r="BM192" s="156">
        <v>44337</v>
      </c>
      <c r="BO192" s="118"/>
      <c r="BQ192" s="156">
        <v>44337</v>
      </c>
      <c r="BS192" s="118"/>
      <c r="BU192" s="156">
        <v>44337</v>
      </c>
      <c r="BW192" s="118"/>
      <c r="BY192" s="156">
        <v>44337</v>
      </c>
      <c r="BZ192" s="79">
        <v>98</v>
      </c>
      <c r="CA192" s="118"/>
    </row>
    <row r="193" spans="1:79">
      <c r="A193" s="133">
        <v>44335</v>
      </c>
      <c r="C193" s="79"/>
      <c r="E193" s="118">
        <v>44333</v>
      </c>
      <c r="F193" s="79">
        <v>3</v>
      </c>
      <c r="G193" s="118"/>
      <c r="I193" s="119">
        <v>44330</v>
      </c>
      <c r="K193" s="80"/>
      <c r="N193" s="118">
        <v>44327</v>
      </c>
      <c r="O193" s="79">
        <v>1</v>
      </c>
      <c r="P193" s="79">
        <v>2</v>
      </c>
      <c r="R193" s="120">
        <v>6</v>
      </c>
      <c r="S193" s="125"/>
      <c r="U193" s="156">
        <v>44335</v>
      </c>
      <c r="W193" s="79"/>
      <c r="Y193" s="119">
        <v>44335</v>
      </c>
      <c r="AA193" s="79"/>
      <c r="AC193" s="80">
        <v>44334</v>
      </c>
      <c r="AD193" s="120">
        <v>10</v>
      </c>
      <c r="AE193" s="80"/>
      <c r="AG193" s="117">
        <v>44332</v>
      </c>
      <c r="AH193" s="37"/>
      <c r="AI193" s="80"/>
      <c r="AK193" s="119">
        <v>44330</v>
      </c>
      <c r="AL193" s="146">
        <v>3</v>
      </c>
      <c r="AM193" s="162"/>
      <c r="AO193" s="152">
        <v>44338</v>
      </c>
      <c r="AP193" s="37"/>
      <c r="AQ193" s="118"/>
      <c r="AS193" s="152">
        <v>44338</v>
      </c>
      <c r="AT193" s="37"/>
      <c r="AU193" s="118"/>
      <c r="AW193" s="152">
        <v>44338</v>
      </c>
      <c r="AX193" s="37"/>
      <c r="AY193" s="118"/>
      <c r="BA193" s="152">
        <v>44338</v>
      </c>
      <c r="BB193" s="37"/>
      <c r="BC193" s="118"/>
      <c r="BE193" s="152">
        <v>44338</v>
      </c>
      <c r="BF193" s="37"/>
      <c r="BG193" s="118"/>
      <c r="BI193" s="152">
        <v>44338</v>
      </c>
      <c r="BJ193" s="37"/>
      <c r="BK193" s="118"/>
      <c r="BM193" s="152">
        <v>44338</v>
      </c>
      <c r="BN193" s="37"/>
      <c r="BO193" s="118"/>
      <c r="BQ193" s="152">
        <v>44338</v>
      </c>
      <c r="BR193" s="37"/>
      <c r="BS193" s="118"/>
      <c r="BU193" s="152">
        <v>44338</v>
      </c>
      <c r="BV193" s="37"/>
      <c r="BW193" s="118"/>
      <c r="BY193" s="152">
        <v>44338</v>
      </c>
      <c r="BZ193" s="37"/>
      <c r="CA193" s="118"/>
    </row>
    <row r="194" spans="1:79">
      <c r="A194" s="133">
        <v>44336</v>
      </c>
      <c r="C194" s="79"/>
      <c r="D194" s="119"/>
      <c r="E194" s="118">
        <v>44334</v>
      </c>
      <c r="F194" s="79">
        <v>4</v>
      </c>
      <c r="G194" s="118"/>
      <c r="H194" s="119"/>
      <c r="I194" s="117">
        <v>44331</v>
      </c>
      <c r="J194" s="37"/>
      <c r="K194" s="80"/>
      <c r="N194" s="118">
        <v>44328</v>
      </c>
      <c r="O194" s="79">
        <v>2</v>
      </c>
      <c r="P194" s="79">
        <v>3</v>
      </c>
      <c r="Q194" s="119"/>
      <c r="R194" s="79">
        <v>1</v>
      </c>
      <c r="S194" s="132"/>
      <c r="U194" s="156">
        <v>44336</v>
      </c>
      <c r="W194" s="79"/>
      <c r="Y194" s="119">
        <v>44336</v>
      </c>
      <c r="AA194" s="79"/>
      <c r="AC194" s="121" t="s">
        <v>85</v>
      </c>
      <c r="AD194" s="121">
        <f>COUNTA(AD172:AD193)</f>
        <v>10</v>
      </c>
      <c r="AE194" s="122">
        <f>IF(AD194&lt;=$U$45,1,AD194/$U$45)</f>
        <v>1</v>
      </c>
      <c r="AG194" s="80">
        <v>44333</v>
      </c>
      <c r="AH194" s="120">
        <v>7</v>
      </c>
      <c r="AI194" s="80"/>
      <c r="AK194" s="117">
        <v>44331</v>
      </c>
      <c r="AL194" s="37"/>
      <c r="AM194" s="162"/>
      <c r="AO194" s="152">
        <v>44339</v>
      </c>
      <c r="AP194" s="37"/>
      <c r="AQ194" s="118"/>
      <c r="AS194" s="152">
        <v>44339</v>
      </c>
      <c r="AT194" s="37"/>
      <c r="AU194" s="118"/>
      <c r="AW194" s="152">
        <v>44339</v>
      </c>
      <c r="AX194" s="37"/>
      <c r="AY194" s="118"/>
      <c r="BA194" s="152">
        <v>44339</v>
      </c>
      <c r="BB194" s="37"/>
      <c r="BC194" s="118"/>
      <c r="BE194" s="152">
        <v>44339</v>
      </c>
      <c r="BF194" s="37"/>
      <c r="BG194" s="118"/>
      <c r="BI194" s="152">
        <v>44339</v>
      </c>
      <c r="BJ194" s="37"/>
      <c r="BK194" s="118"/>
      <c r="BM194" s="152">
        <v>44339</v>
      </c>
      <c r="BN194" s="37"/>
      <c r="BO194" s="118"/>
      <c r="BQ194" s="152">
        <v>44339</v>
      </c>
      <c r="BR194" s="37"/>
      <c r="BS194" s="118"/>
      <c r="BU194" s="152">
        <v>44339</v>
      </c>
      <c r="BV194" s="37"/>
      <c r="BW194" s="118"/>
      <c r="BY194" s="152">
        <v>44339</v>
      </c>
      <c r="BZ194" s="37"/>
      <c r="CA194" s="118"/>
    </row>
    <row r="195" spans="1:79">
      <c r="A195" s="133">
        <v>44337</v>
      </c>
      <c r="C195" s="79"/>
      <c r="E195" s="119">
        <v>44335</v>
      </c>
      <c r="G195" s="118"/>
      <c r="I195" s="117">
        <v>44332</v>
      </c>
      <c r="J195" s="37"/>
      <c r="K195" s="80"/>
      <c r="N195" s="117">
        <v>44329</v>
      </c>
      <c r="O195" s="37"/>
      <c r="P195" s="37"/>
      <c r="R195" s="79">
        <v>2</v>
      </c>
      <c r="S195" s="134"/>
      <c r="U195" s="156">
        <v>44337</v>
      </c>
      <c r="W195" s="79"/>
      <c r="Y195" s="119">
        <v>44337</v>
      </c>
      <c r="AA195" s="79"/>
      <c r="AC195" s="118">
        <v>44335</v>
      </c>
      <c r="AD195" s="79">
        <v>1</v>
      </c>
      <c r="AE195" s="79"/>
      <c r="AG195" s="80">
        <v>44334</v>
      </c>
      <c r="AH195" s="120">
        <v>8</v>
      </c>
      <c r="AI195" s="80"/>
      <c r="AK195" s="117">
        <v>44332</v>
      </c>
      <c r="AL195" s="37"/>
      <c r="AM195" s="162"/>
      <c r="AO195" s="152">
        <v>44340</v>
      </c>
      <c r="AP195" s="37"/>
      <c r="AQ195" s="118"/>
      <c r="AS195" s="152">
        <v>44340</v>
      </c>
      <c r="AT195" s="37"/>
      <c r="AU195" s="118"/>
      <c r="AW195" s="152">
        <v>44340</v>
      </c>
      <c r="AX195" s="37"/>
      <c r="AY195" s="118"/>
      <c r="BA195" s="152">
        <v>44340</v>
      </c>
      <c r="BB195" s="37"/>
      <c r="BC195" s="118"/>
      <c r="BE195" s="152">
        <v>44340</v>
      </c>
      <c r="BF195" s="37"/>
      <c r="BG195" s="118"/>
      <c r="BI195" s="152">
        <v>44340</v>
      </c>
      <c r="BJ195" s="37"/>
      <c r="BK195" s="118"/>
      <c r="BM195" s="152">
        <v>44340</v>
      </c>
      <c r="BN195" s="37"/>
      <c r="BO195" s="118"/>
      <c r="BQ195" s="152">
        <v>44340</v>
      </c>
      <c r="BR195" s="37"/>
      <c r="BS195" s="118"/>
      <c r="BU195" s="152">
        <v>44340</v>
      </c>
      <c r="BV195" s="37"/>
      <c r="BW195" s="118"/>
      <c r="BY195" s="152">
        <v>44340</v>
      </c>
      <c r="BZ195" s="37"/>
      <c r="CA195" s="118"/>
    </row>
    <row r="196" spans="1:79">
      <c r="A196" s="129">
        <v>44338</v>
      </c>
      <c r="B196" s="117"/>
      <c r="C196" s="79"/>
      <c r="E196" s="119">
        <v>44336</v>
      </c>
      <c r="G196" s="118"/>
      <c r="I196" s="119">
        <v>44333</v>
      </c>
      <c r="J196" s="120">
        <v>4</v>
      </c>
      <c r="K196" s="80"/>
      <c r="L196" s="37"/>
      <c r="M196" s="37"/>
      <c r="N196" s="118">
        <v>44330</v>
      </c>
      <c r="O196" s="79">
        <v>3</v>
      </c>
      <c r="P196" s="79">
        <v>4</v>
      </c>
      <c r="R196" s="37"/>
      <c r="S196" s="130"/>
      <c r="U196" s="152">
        <v>44338</v>
      </c>
      <c r="V196" s="37"/>
      <c r="W196" s="79"/>
      <c r="Y196" s="117">
        <v>44338</v>
      </c>
      <c r="Z196" s="37"/>
      <c r="AA196" s="79"/>
      <c r="AC196" s="119">
        <v>44336</v>
      </c>
      <c r="AG196" s="80">
        <v>44335</v>
      </c>
      <c r="AH196" s="120">
        <v>9</v>
      </c>
      <c r="AI196" s="80"/>
      <c r="AK196" s="118">
        <v>44333</v>
      </c>
      <c r="AL196" s="146">
        <v>4</v>
      </c>
      <c r="AM196" s="162"/>
      <c r="AO196" s="154">
        <v>44341</v>
      </c>
      <c r="AP196" s="79">
        <v>21</v>
      </c>
      <c r="AQ196" s="118"/>
      <c r="AS196" s="154">
        <v>44341</v>
      </c>
      <c r="AT196" s="79">
        <v>41</v>
      </c>
      <c r="AU196" s="118"/>
      <c r="AW196" s="154">
        <v>44341</v>
      </c>
      <c r="AX196" s="79">
        <v>61</v>
      </c>
      <c r="AY196" s="118"/>
      <c r="BA196" s="154">
        <v>44341</v>
      </c>
      <c r="BB196" s="79">
        <v>81</v>
      </c>
      <c r="BC196" s="118"/>
      <c r="BE196" s="154">
        <v>44341</v>
      </c>
      <c r="BF196" s="79">
        <v>99</v>
      </c>
      <c r="BG196" s="118"/>
      <c r="BI196" s="154">
        <v>44341</v>
      </c>
      <c r="BJ196" s="79">
        <v>21</v>
      </c>
      <c r="BK196" s="118"/>
      <c r="BM196" s="154">
        <v>44341</v>
      </c>
      <c r="BN196" s="79">
        <v>41</v>
      </c>
      <c r="BO196" s="118"/>
      <c r="BQ196" s="154">
        <v>44341</v>
      </c>
      <c r="BR196" s="79">
        <v>61</v>
      </c>
      <c r="BS196" s="118"/>
      <c r="BU196" s="154">
        <v>44341</v>
      </c>
      <c r="BV196" s="79">
        <v>81</v>
      </c>
      <c r="BW196" s="118"/>
      <c r="BY196" s="154">
        <v>44341</v>
      </c>
      <c r="BZ196" s="79">
        <v>99</v>
      </c>
      <c r="CA196" s="118"/>
    </row>
    <row r="197" spans="1:79">
      <c r="A197" s="129">
        <v>44339</v>
      </c>
      <c r="B197" s="117"/>
      <c r="C197" s="79"/>
      <c r="E197" s="119">
        <v>44337</v>
      </c>
      <c r="G197" s="118"/>
      <c r="I197" s="119">
        <v>44334</v>
      </c>
      <c r="J197" s="120">
        <v>5</v>
      </c>
      <c r="K197" s="80"/>
      <c r="L197" s="37"/>
      <c r="M197" s="37"/>
      <c r="N197" s="117">
        <v>44331</v>
      </c>
      <c r="O197" s="37"/>
      <c r="P197" s="37"/>
      <c r="R197" s="37"/>
      <c r="S197" s="130"/>
      <c r="U197" s="152">
        <v>44339</v>
      </c>
      <c r="V197" s="37"/>
      <c r="W197" s="79"/>
      <c r="Y197" s="117">
        <v>44339</v>
      </c>
      <c r="Z197" s="37"/>
      <c r="AA197" s="79"/>
      <c r="AC197" s="119">
        <v>44337</v>
      </c>
      <c r="AG197" s="80">
        <v>44336</v>
      </c>
      <c r="AH197" s="120">
        <v>10</v>
      </c>
      <c r="AI197" s="80"/>
      <c r="AJ197" s="120"/>
      <c r="AK197" s="119">
        <v>44334</v>
      </c>
      <c r="AL197" s="146">
        <v>5</v>
      </c>
      <c r="AM197" s="162"/>
      <c r="AO197" s="156">
        <v>44342</v>
      </c>
      <c r="AQ197" s="118"/>
      <c r="AS197" s="156">
        <v>44342</v>
      </c>
      <c r="AT197">
        <v>42</v>
      </c>
      <c r="AU197" s="118"/>
      <c r="AW197" s="156">
        <v>44342</v>
      </c>
      <c r="AX197">
        <v>62</v>
      </c>
      <c r="AY197" s="118"/>
      <c r="BA197" s="156">
        <v>44342</v>
      </c>
      <c r="BB197" s="79">
        <v>82</v>
      </c>
      <c r="BC197" s="118"/>
      <c r="BE197" s="156">
        <v>44342</v>
      </c>
      <c r="BF197" s="79">
        <v>100</v>
      </c>
      <c r="BG197" s="118"/>
      <c r="BI197" s="156">
        <v>44342</v>
      </c>
      <c r="BK197" s="118"/>
      <c r="BM197" s="156">
        <v>44342</v>
      </c>
      <c r="BN197">
        <v>42</v>
      </c>
      <c r="BO197" s="118"/>
      <c r="BQ197" s="156">
        <v>44342</v>
      </c>
      <c r="BR197">
        <v>62</v>
      </c>
      <c r="BS197" s="118"/>
      <c r="BU197" s="156">
        <v>44342</v>
      </c>
      <c r="BV197" s="79">
        <v>82</v>
      </c>
      <c r="BW197" s="118"/>
      <c r="BY197" s="156">
        <v>44342</v>
      </c>
      <c r="BZ197" s="79">
        <v>100</v>
      </c>
      <c r="CA197" s="118"/>
    </row>
    <row r="198" spans="1:79">
      <c r="A198" s="129">
        <v>44340</v>
      </c>
      <c r="B198" s="117"/>
      <c r="C198" s="79"/>
      <c r="E198" s="117">
        <v>44338</v>
      </c>
      <c r="F198" s="37"/>
      <c r="G198" s="118"/>
      <c r="I198" s="119">
        <v>44335</v>
      </c>
      <c r="J198" s="120">
        <v>6</v>
      </c>
      <c r="K198" s="80"/>
      <c r="L198" s="37"/>
      <c r="M198" s="37"/>
      <c r="N198" s="117">
        <v>44332</v>
      </c>
      <c r="O198" s="37"/>
      <c r="P198" s="37"/>
      <c r="R198" s="37"/>
      <c r="S198" s="130"/>
      <c r="U198" s="152">
        <v>44340</v>
      </c>
      <c r="V198" s="37"/>
      <c r="W198" s="79"/>
      <c r="Y198" s="117">
        <v>44340</v>
      </c>
      <c r="Z198" s="37"/>
      <c r="AA198" s="79"/>
      <c r="AC198" s="117">
        <v>44338</v>
      </c>
      <c r="AD198" s="37"/>
      <c r="AE198" s="37"/>
      <c r="AG198" s="121" t="s">
        <v>85</v>
      </c>
      <c r="AH198" s="121">
        <f>COUNTA(AH182:AH197)</f>
        <v>10</v>
      </c>
      <c r="AI198" s="122">
        <f>IF(AH198&lt;=$U$45,1,AH198/$U$45)</f>
        <v>1</v>
      </c>
      <c r="AK198" s="119">
        <v>44335</v>
      </c>
      <c r="AL198" s="146">
        <v>6</v>
      </c>
      <c r="AM198" s="162"/>
      <c r="AO198" s="156">
        <v>44343</v>
      </c>
      <c r="AQ198" s="118"/>
      <c r="AS198" s="156">
        <v>44343</v>
      </c>
      <c r="AU198" s="118"/>
      <c r="AW198" s="156">
        <v>44343</v>
      </c>
      <c r="AX198">
        <v>63</v>
      </c>
      <c r="AY198" s="118"/>
      <c r="BA198" s="156">
        <v>44343</v>
      </c>
      <c r="BB198" s="79">
        <v>83</v>
      </c>
      <c r="BC198" s="118"/>
      <c r="BE198" s="156">
        <v>44343</v>
      </c>
      <c r="BF198" s="79">
        <v>101</v>
      </c>
      <c r="BG198" s="118"/>
      <c r="BI198" s="156">
        <v>44343</v>
      </c>
      <c r="BK198" s="118"/>
      <c r="BM198" s="156">
        <v>44343</v>
      </c>
      <c r="BO198" s="118"/>
      <c r="BQ198" s="156">
        <v>44343</v>
      </c>
      <c r="BR198">
        <v>63</v>
      </c>
      <c r="BS198" s="118"/>
      <c r="BU198" s="156">
        <v>44343</v>
      </c>
      <c r="BV198" s="79">
        <v>83</v>
      </c>
      <c r="BW198" s="118"/>
      <c r="BY198" s="156">
        <v>44343</v>
      </c>
      <c r="BZ198" s="79">
        <v>101</v>
      </c>
      <c r="CA198" s="118"/>
    </row>
    <row r="199" spans="1:79">
      <c r="A199" s="131">
        <v>44341</v>
      </c>
      <c r="B199" s="79">
        <v>2</v>
      </c>
      <c r="C199" s="79"/>
      <c r="E199" s="117">
        <v>44339</v>
      </c>
      <c r="F199" s="37"/>
      <c r="G199" s="118"/>
      <c r="I199" s="121" t="s">
        <v>85</v>
      </c>
      <c r="J199" s="121">
        <f>COUNTA(J189:J198)</f>
        <v>6</v>
      </c>
      <c r="K199" s="122">
        <f>IF(J199&lt;=$A$45,1,J199/$A$45)</f>
        <v>1</v>
      </c>
      <c r="L199" s="119"/>
      <c r="M199" s="119"/>
      <c r="N199" s="118">
        <v>44333</v>
      </c>
      <c r="O199" s="79">
        <v>4</v>
      </c>
      <c r="P199" s="79">
        <v>1</v>
      </c>
      <c r="R199" s="79">
        <v>3</v>
      </c>
      <c r="S199" s="134"/>
      <c r="U199" s="154">
        <v>44341</v>
      </c>
      <c r="V199" s="79">
        <v>2</v>
      </c>
      <c r="W199" s="79"/>
      <c r="Y199" s="118">
        <v>44341</v>
      </c>
      <c r="Z199" s="79">
        <v>3</v>
      </c>
      <c r="AA199" s="79"/>
      <c r="AC199" s="117">
        <v>44339</v>
      </c>
      <c r="AD199" s="37"/>
      <c r="AE199" s="37"/>
      <c r="AG199" s="119">
        <v>44337</v>
      </c>
      <c r="AK199" s="80">
        <v>44336</v>
      </c>
      <c r="AL199" s="146">
        <v>7</v>
      </c>
      <c r="AM199" s="162"/>
      <c r="AO199" s="156">
        <v>44344</v>
      </c>
      <c r="AQ199" s="118"/>
      <c r="AS199" s="156">
        <v>44344</v>
      </c>
      <c r="AU199" s="118"/>
      <c r="AW199" s="156">
        <v>44344</v>
      </c>
      <c r="AY199" s="118"/>
      <c r="BA199" s="156">
        <v>44344</v>
      </c>
      <c r="BB199" s="79">
        <v>84</v>
      </c>
      <c r="BC199" s="118"/>
      <c r="BE199" s="156">
        <v>44344</v>
      </c>
      <c r="BF199" s="79">
        <v>102</v>
      </c>
      <c r="BG199" s="118"/>
      <c r="BI199" s="156">
        <v>44344</v>
      </c>
      <c r="BK199" s="118"/>
      <c r="BM199" s="156">
        <v>44344</v>
      </c>
      <c r="BO199" s="118"/>
      <c r="BQ199" s="156">
        <v>44344</v>
      </c>
      <c r="BS199" s="118"/>
      <c r="BU199" s="156">
        <v>44344</v>
      </c>
      <c r="BV199" s="79">
        <v>84</v>
      </c>
      <c r="BW199" s="118"/>
      <c r="BY199" s="156">
        <v>44344</v>
      </c>
      <c r="BZ199" s="79">
        <v>102</v>
      </c>
      <c r="CA199" s="118"/>
    </row>
    <row r="200" spans="1:79">
      <c r="A200" s="133">
        <v>44342</v>
      </c>
      <c r="C200" s="79"/>
      <c r="E200" s="117">
        <v>44340</v>
      </c>
      <c r="F200" s="37"/>
      <c r="G200" s="118"/>
      <c r="I200" s="119">
        <v>44336</v>
      </c>
      <c r="N200" s="118">
        <v>44334</v>
      </c>
      <c r="O200" s="79">
        <v>5</v>
      </c>
      <c r="P200" s="79">
        <v>2</v>
      </c>
      <c r="R200" s="79">
        <v>4</v>
      </c>
      <c r="S200" s="134"/>
      <c r="U200" s="156">
        <v>44342</v>
      </c>
      <c r="W200" s="79"/>
      <c r="Y200" s="118">
        <v>44342</v>
      </c>
      <c r="Z200" s="79">
        <v>4</v>
      </c>
      <c r="AA200" s="79"/>
      <c r="AC200" s="117">
        <v>44340</v>
      </c>
      <c r="AD200" s="37"/>
      <c r="AE200" s="37"/>
      <c r="AG200" s="117">
        <v>44338</v>
      </c>
      <c r="AH200" s="37"/>
      <c r="AI200" s="37"/>
      <c r="AK200" s="80">
        <v>44337</v>
      </c>
      <c r="AL200" s="146">
        <v>8</v>
      </c>
      <c r="AM200" s="148"/>
      <c r="AO200" s="152">
        <v>44345</v>
      </c>
      <c r="AP200" s="37"/>
      <c r="AQ200" s="118"/>
      <c r="AS200" s="152">
        <v>44345</v>
      </c>
      <c r="AT200" s="37"/>
      <c r="AU200" s="118"/>
      <c r="AW200" s="152">
        <v>44345</v>
      </c>
      <c r="AX200" s="37"/>
      <c r="AY200" s="118"/>
      <c r="BA200" s="152">
        <v>44345</v>
      </c>
      <c r="BB200" s="37"/>
      <c r="BC200" s="118"/>
      <c r="BE200" s="152">
        <v>44345</v>
      </c>
      <c r="BF200" s="37"/>
      <c r="BG200" s="118"/>
      <c r="BI200" s="152">
        <v>44345</v>
      </c>
      <c r="BJ200" s="37"/>
      <c r="BK200" s="118"/>
      <c r="BM200" s="152">
        <v>44345</v>
      </c>
      <c r="BN200" s="37"/>
      <c r="BO200" s="118"/>
      <c r="BQ200" s="152">
        <v>44345</v>
      </c>
      <c r="BR200" s="37"/>
      <c r="BS200" s="118"/>
      <c r="BU200" s="152">
        <v>44345</v>
      </c>
      <c r="BV200" s="37"/>
      <c r="BW200" s="118"/>
      <c r="BY200" s="152">
        <v>44345</v>
      </c>
      <c r="BZ200" s="37"/>
      <c r="CA200" s="118"/>
    </row>
    <row r="201" spans="1:79">
      <c r="A201" s="133">
        <v>44343</v>
      </c>
      <c r="C201" s="79"/>
      <c r="E201" s="118">
        <v>44341</v>
      </c>
      <c r="F201" s="79">
        <v>5</v>
      </c>
      <c r="G201" s="118"/>
      <c r="I201" s="119">
        <v>44337</v>
      </c>
      <c r="N201" s="118">
        <v>44335</v>
      </c>
      <c r="O201" s="79">
        <v>6</v>
      </c>
      <c r="P201" s="79">
        <v>3</v>
      </c>
      <c r="R201" s="79">
        <v>5</v>
      </c>
      <c r="S201" s="134"/>
      <c r="U201" s="156">
        <v>44343</v>
      </c>
      <c r="W201" s="79"/>
      <c r="Y201" s="119">
        <v>44343</v>
      </c>
      <c r="AA201" s="79"/>
      <c r="AC201" s="118">
        <v>44341</v>
      </c>
      <c r="AD201" s="79">
        <v>2</v>
      </c>
      <c r="AE201" s="79"/>
      <c r="AG201" s="117">
        <v>44339</v>
      </c>
      <c r="AH201" s="37"/>
      <c r="AI201" s="37"/>
      <c r="AK201" s="117">
        <v>44338</v>
      </c>
      <c r="AL201" s="37"/>
      <c r="AM201" s="148"/>
      <c r="AO201" s="152">
        <v>44346</v>
      </c>
      <c r="AP201" s="37"/>
      <c r="AQ201" s="118"/>
      <c r="AS201" s="152">
        <v>44346</v>
      </c>
      <c r="AT201" s="37"/>
      <c r="AU201" s="118"/>
      <c r="AW201" s="152">
        <v>44346</v>
      </c>
      <c r="AX201" s="37"/>
      <c r="AY201" s="118"/>
      <c r="BA201" s="152">
        <v>44346</v>
      </c>
      <c r="BB201" s="37"/>
      <c r="BC201" s="118"/>
      <c r="BE201" s="152">
        <v>44346</v>
      </c>
      <c r="BF201" s="37"/>
      <c r="BG201" s="118"/>
      <c r="BI201" s="152">
        <v>44346</v>
      </c>
      <c r="BJ201" s="37"/>
      <c r="BK201" s="118"/>
      <c r="BM201" s="152">
        <v>44346</v>
      </c>
      <c r="BN201" s="37"/>
      <c r="BO201" s="118"/>
      <c r="BQ201" s="152">
        <v>44346</v>
      </c>
      <c r="BR201" s="37"/>
      <c r="BS201" s="118"/>
      <c r="BU201" s="152">
        <v>44346</v>
      </c>
      <c r="BV201" s="37"/>
      <c r="BW201" s="118"/>
      <c r="BY201" s="152">
        <v>44346</v>
      </c>
      <c r="BZ201" s="37"/>
      <c r="CA201" s="118"/>
    </row>
    <row r="202" spans="1:79">
      <c r="A202" s="133">
        <v>44344</v>
      </c>
      <c r="C202" s="79"/>
      <c r="E202" s="118">
        <v>44342</v>
      </c>
      <c r="F202" s="79">
        <v>6</v>
      </c>
      <c r="G202" s="118"/>
      <c r="I202" s="117">
        <v>44338</v>
      </c>
      <c r="J202" s="37"/>
      <c r="K202" s="37"/>
      <c r="N202" s="121" t="s">
        <v>85</v>
      </c>
      <c r="O202" s="121">
        <f>COUNTA(O193:O201)</f>
        <v>6</v>
      </c>
      <c r="P202" s="122">
        <f>IF(O202&lt;=$A$45,1,O202/$A$45)</f>
        <v>1</v>
      </c>
      <c r="R202" s="79">
        <v>6</v>
      </c>
      <c r="S202" s="134"/>
      <c r="U202" s="156">
        <v>44344</v>
      </c>
      <c r="W202" s="79"/>
      <c r="Y202" s="119">
        <v>44344</v>
      </c>
      <c r="AA202" s="79"/>
      <c r="AC202" s="118">
        <v>44342</v>
      </c>
      <c r="AD202" s="79">
        <v>3</v>
      </c>
      <c r="AE202" s="79"/>
      <c r="AG202" s="117">
        <v>44340</v>
      </c>
      <c r="AH202" s="37"/>
      <c r="AI202" s="37"/>
      <c r="AK202" s="117">
        <v>44339</v>
      </c>
      <c r="AL202" s="37"/>
      <c r="AM202" s="148"/>
      <c r="AO202" s="154">
        <v>44347</v>
      </c>
      <c r="AP202" s="79">
        <v>22</v>
      </c>
      <c r="AQ202" s="118"/>
      <c r="AS202" s="154">
        <v>44347</v>
      </c>
      <c r="AT202" s="79">
        <v>43</v>
      </c>
      <c r="AU202" s="118"/>
      <c r="AW202" s="154">
        <v>44347</v>
      </c>
      <c r="AX202" s="79">
        <v>64</v>
      </c>
      <c r="AY202" s="118"/>
      <c r="BA202" s="154">
        <v>44347</v>
      </c>
      <c r="BB202" s="79">
        <v>85</v>
      </c>
      <c r="BC202" s="118"/>
      <c r="BE202" s="154">
        <v>44347</v>
      </c>
      <c r="BF202" s="79">
        <v>103</v>
      </c>
      <c r="BG202" s="118"/>
      <c r="BI202" s="154">
        <v>44347</v>
      </c>
      <c r="BJ202" s="79">
        <v>22</v>
      </c>
      <c r="BK202" s="118"/>
      <c r="BM202" s="154">
        <v>44347</v>
      </c>
      <c r="BN202" s="79">
        <v>43</v>
      </c>
      <c r="BO202" s="118"/>
      <c r="BQ202" s="154">
        <v>44347</v>
      </c>
      <c r="BR202" s="79">
        <v>64</v>
      </c>
      <c r="BS202" s="118"/>
      <c r="BU202" s="154">
        <v>44347</v>
      </c>
      <c r="BV202" s="79">
        <v>85</v>
      </c>
      <c r="BW202" s="118"/>
      <c r="BY202" s="154">
        <v>44347</v>
      </c>
      <c r="BZ202" s="79">
        <v>103</v>
      </c>
      <c r="CA202" s="118"/>
    </row>
    <row r="203" spans="1:79">
      <c r="A203" s="129">
        <v>44345</v>
      </c>
      <c r="B203" s="37"/>
      <c r="C203" s="79"/>
      <c r="E203" s="121" t="s">
        <v>85</v>
      </c>
      <c r="F203" s="121">
        <f>COUNTA(F186:F202)</f>
        <v>6</v>
      </c>
      <c r="G203" s="122">
        <f>IF(F203&lt;=$A$45,1,F203/$A$45)</f>
        <v>1</v>
      </c>
      <c r="I203" s="117">
        <v>44339</v>
      </c>
      <c r="J203" s="37"/>
      <c r="K203" s="37"/>
      <c r="L203" s="37"/>
      <c r="M203" s="37"/>
      <c r="N203" s="80">
        <v>44336</v>
      </c>
      <c r="O203" s="120">
        <v>1</v>
      </c>
      <c r="P203" s="120">
        <v>4</v>
      </c>
      <c r="R203" s="37"/>
      <c r="S203" s="130"/>
      <c r="U203" s="152">
        <v>44345</v>
      </c>
      <c r="V203" s="37"/>
      <c r="W203" s="79"/>
      <c r="Y203" s="117">
        <v>44345</v>
      </c>
      <c r="Z203" s="37"/>
      <c r="AA203" s="79"/>
      <c r="AC203" s="118">
        <v>44343</v>
      </c>
      <c r="AD203" s="79">
        <v>4</v>
      </c>
      <c r="AE203" s="79"/>
      <c r="AG203" s="118">
        <v>44341</v>
      </c>
      <c r="AH203" s="79">
        <v>1</v>
      </c>
      <c r="AI203" s="79"/>
      <c r="AK203" s="117">
        <v>44340</v>
      </c>
      <c r="AL203" s="37"/>
      <c r="AM203" s="148"/>
      <c r="AO203" s="156">
        <v>44348</v>
      </c>
      <c r="AQ203" s="118"/>
      <c r="AS203" s="156">
        <v>44348</v>
      </c>
      <c r="AT203">
        <v>44</v>
      </c>
      <c r="AU203" s="118"/>
      <c r="AW203" s="156">
        <v>44348</v>
      </c>
      <c r="AX203">
        <v>65</v>
      </c>
      <c r="AY203" s="118"/>
      <c r="BA203" s="156">
        <v>44348</v>
      </c>
      <c r="BB203" s="79">
        <v>86</v>
      </c>
      <c r="BC203" s="118"/>
      <c r="BE203" s="156">
        <v>44348</v>
      </c>
      <c r="BF203" s="79">
        <v>104</v>
      </c>
      <c r="BG203" s="118"/>
      <c r="BI203" s="156">
        <v>44348</v>
      </c>
      <c r="BK203" s="118"/>
      <c r="BM203" s="156">
        <v>44348</v>
      </c>
      <c r="BN203">
        <v>44</v>
      </c>
      <c r="BO203" s="118"/>
      <c r="BQ203" s="156">
        <v>44348</v>
      </c>
      <c r="BR203">
        <v>65</v>
      </c>
      <c r="BS203" s="118"/>
      <c r="BU203" s="156">
        <v>44348</v>
      </c>
      <c r="BV203" s="79">
        <v>86</v>
      </c>
      <c r="BW203" s="118"/>
      <c r="BY203" s="156">
        <v>44348</v>
      </c>
      <c r="BZ203" s="79">
        <v>104</v>
      </c>
      <c r="CA203" s="118"/>
    </row>
    <row r="204" spans="1:79">
      <c r="A204" s="129">
        <v>44346</v>
      </c>
      <c r="B204" s="37"/>
      <c r="C204" s="79"/>
      <c r="E204" s="119">
        <v>44343</v>
      </c>
      <c r="I204" s="117">
        <v>44340</v>
      </c>
      <c r="J204" s="37"/>
      <c r="K204" s="37"/>
      <c r="L204" s="37"/>
      <c r="M204" s="37"/>
      <c r="N204" s="119">
        <v>44337</v>
      </c>
      <c r="R204" s="37"/>
      <c r="S204" s="130"/>
      <c r="U204" s="152">
        <v>44346</v>
      </c>
      <c r="V204" s="37"/>
      <c r="W204" s="79"/>
      <c r="Y204" s="117">
        <v>44346</v>
      </c>
      <c r="Z204" s="37"/>
      <c r="AA204" s="79"/>
      <c r="AC204" s="119">
        <v>44344</v>
      </c>
      <c r="AE204" s="79"/>
      <c r="AG204" s="118">
        <v>44342</v>
      </c>
      <c r="AH204" s="79">
        <v>2</v>
      </c>
      <c r="AI204" s="118"/>
      <c r="AJ204" s="79"/>
      <c r="AK204" s="118">
        <v>44341</v>
      </c>
      <c r="AL204" s="146">
        <v>9</v>
      </c>
      <c r="AM204" s="162"/>
      <c r="AO204" s="156">
        <v>44349</v>
      </c>
      <c r="AQ204" s="118"/>
      <c r="AS204" s="156">
        <v>44349</v>
      </c>
      <c r="AU204" s="118"/>
      <c r="AW204" s="156">
        <v>44349</v>
      </c>
      <c r="AX204">
        <v>66</v>
      </c>
      <c r="AY204" s="118"/>
      <c r="BA204" s="156">
        <v>44349</v>
      </c>
      <c r="BB204" s="79">
        <v>87</v>
      </c>
      <c r="BC204" s="118"/>
      <c r="BE204" s="156">
        <v>44349</v>
      </c>
      <c r="BF204" s="79">
        <v>105</v>
      </c>
      <c r="BG204" s="118"/>
      <c r="BI204" s="156">
        <v>44349</v>
      </c>
      <c r="BK204" s="118"/>
      <c r="BM204" s="156">
        <v>44349</v>
      </c>
      <c r="BO204" s="118"/>
      <c r="BQ204" s="156">
        <v>44349</v>
      </c>
      <c r="BR204">
        <v>66</v>
      </c>
      <c r="BS204" s="118"/>
      <c r="BU204" s="156">
        <v>44349</v>
      </c>
      <c r="BV204" s="79">
        <v>87</v>
      </c>
      <c r="BW204" s="118"/>
      <c r="BY204" s="156">
        <v>44349</v>
      </c>
      <c r="BZ204" s="79">
        <v>105</v>
      </c>
      <c r="CA204" s="118"/>
    </row>
    <row r="205" spans="1:79">
      <c r="A205" s="131">
        <v>44347</v>
      </c>
      <c r="B205" s="79">
        <v>3</v>
      </c>
      <c r="C205" s="79"/>
      <c r="D205" s="119"/>
      <c r="E205" s="119">
        <v>44344</v>
      </c>
      <c r="H205" s="119"/>
      <c r="I205" s="118">
        <v>44341</v>
      </c>
      <c r="J205" s="79">
        <v>1</v>
      </c>
      <c r="K205" s="118"/>
      <c r="L205" s="119"/>
      <c r="M205" s="119"/>
      <c r="N205" s="117">
        <v>44338</v>
      </c>
      <c r="O205" s="37"/>
      <c r="P205" s="37"/>
      <c r="Q205" s="119"/>
      <c r="R205" s="120">
        <v>1</v>
      </c>
      <c r="S205" s="135"/>
      <c r="U205" s="154">
        <v>44347</v>
      </c>
      <c r="V205" s="79">
        <v>3</v>
      </c>
      <c r="W205" s="118"/>
      <c r="X205" s="119"/>
      <c r="Y205" s="118">
        <v>44347</v>
      </c>
      <c r="Z205" s="79">
        <v>5</v>
      </c>
      <c r="AA205" s="79"/>
      <c r="AC205" s="117">
        <v>44345</v>
      </c>
      <c r="AD205" s="37"/>
      <c r="AE205" s="79"/>
      <c r="AG205" s="118">
        <v>44343</v>
      </c>
      <c r="AH205" s="79">
        <v>3</v>
      </c>
      <c r="AI205" s="118"/>
      <c r="AJ205" s="79"/>
      <c r="AK205" s="119">
        <v>44342</v>
      </c>
      <c r="AL205" s="79">
        <v>10</v>
      </c>
      <c r="AM205" s="149"/>
      <c r="AO205" s="156">
        <v>44350</v>
      </c>
      <c r="AQ205" s="118"/>
      <c r="AS205" s="156">
        <v>44350</v>
      </c>
      <c r="AU205" s="118"/>
      <c r="AW205" s="156">
        <v>44350</v>
      </c>
      <c r="AY205" s="118"/>
      <c r="BA205" s="156">
        <v>44350</v>
      </c>
      <c r="BB205" s="79">
        <v>88</v>
      </c>
      <c r="BC205" s="118"/>
      <c r="BE205" s="156">
        <v>44350</v>
      </c>
      <c r="BF205" s="79">
        <v>106</v>
      </c>
      <c r="BG205" s="118"/>
      <c r="BI205" s="156">
        <v>44350</v>
      </c>
      <c r="BK205" s="118"/>
      <c r="BM205" s="156">
        <v>44350</v>
      </c>
      <c r="BO205" s="118"/>
      <c r="BQ205" s="156">
        <v>44350</v>
      </c>
      <c r="BS205" s="118"/>
      <c r="BU205" s="156">
        <v>44350</v>
      </c>
      <c r="BV205" s="79">
        <v>88</v>
      </c>
      <c r="BW205" s="118"/>
      <c r="BY205" s="156">
        <v>44350</v>
      </c>
      <c r="BZ205" s="79">
        <v>106</v>
      </c>
      <c r="CA205" s="118"/>
    </row>
    <row r="206" spans="1:79">
      <c r="A206" s="133">
        <v>44348</v>
      </c>
      <c r="C206" s="79"/>
      <c r="E206" s="117">
        <v>44345</v>
      </c>
      <c r="F206" s="37"/>
      <c r="G206" s="37"/>
      <c r="I206" s="118">
        <v>44342</v>
      </c>
      <c r="J206" s="79">
        <v>2</v>
      </c>
      <c r="K206" s="79"/>
      <c r="N206" s="117">
        <v>44339</v>
      </c>
      <c r="O206" s="37"/>
      <c r="P206" s="37"/>
      <c r="R206" s="120">
        <v>2</v>
      </c>
      <c r="S206" s="125"/>
      <c r="U206" s="156">
        <v>44348</v>
      </c>
      <c r="W206" s="79"/>
      <c r="Y206" s="118">
        <v>44348</v>
      </c>
      <c r="Z206" s="79">
        <v>6</v>
      </c>
      <c r="AA206" s="79"/>
      <c r="AC206" s="117">
        <v>44346</v>
      </c>
      <c r="AD206" s="37"/>
      <c r="AE206" s="79"/>
      <c r="AG206" s="119">
        <v>44344</v>
      </c>
      <c r="AI206" s="79"/>
      <c r="AK206" s="121" t="s">
        <v>85</v>
      </c>
      <c r="AL206" s="121">
        <f>COUNTA(AL190:AL205)</f>
        <v>10</v>
      </c>
      <c r="AM206" s="158">
        <f>IF(AL206&lt;=$U$45,1,AL206/$U$45)</f>
        <v>1</v>
      </c>
      <c r="AO206" s="156">
        <v>44351</v>
      </c>
      <c r="AQ206" s="118"/>
      <c r="AR206" s="119"/>
      <c r="AS206" s="156">
        <v>44351</v>
      </c>
      <c r="AU206" s="118"/>
      <c r="AW206" s="156">
        <v>44351</v>
      </c>
      <c r="AY206" s="118"/>
      <c r="BA206" s="156">
        <v>44351</v>
      </c>
      <c r="BC206" s="118"/>
      <c r="BE206" s="156">
        <v>44351</v>
      </c>
      <c r="BF206" s="79">
        <v>107</v>
      </c>
      <c r="BG206" s="118"/>
      <c r="BI206" s="156">
        <v>44351</v>
      </c>
      <c r="BK206" s="118"/>
      <c r="BL206" s="119"/>
      <c r="BM206" s="156">
        <v>44351</v>
      </c>
      <c r="BO206" s="118"/>
      <c r="BQ206" s="156">
        <v>44351</v>
      </c>
      <c r="BS206" s="118"/>
      <c r="BU206" s="156">
        <v>44351</v>
      </c>
      <c r="BW206" s="118"/>
      <c r="BY206" s="156">
        <v>44351</v>
      </c>
      <c r="BZ206" s="79">
        <v>107</v>
      </c>
      <c r="CA206" s="118"/>
    </row>
    <row r="207" spans="1:79">
      <c r="A207" s="133">
        <v>44349</v>
      </c>
      <c r="C207" s="79"/>
      <c r="D207" s="119"/>
      <c r="E207" s="117">
        <v>44346</v>
      </c>
      <c r="F207" s="37"/>
      <c r="G207" s="37"/>
      <c r="H207" s="119"/>
      <c r="I207" s="118">
        <v>44343</v>
      </c>
      <c r="J207" s="79">
        <v>3</v>
      </c>
      <c r="K207" s="79"/>
      <c r="N207" s="117">
        <v>44340</v>
      </c>
      <c r="O207" s="37"/>
      <c r="P207" s="37"/>
      <c r="Q207" s="119"/>
      <c r="R207" s="120">
        <v>3</v>
      </c>
      <c r="S207" s="125"/>
      <c r="U207" s="156">
        <v>44349</v>
      </c>
      <c r="W207" s="118"/>
      <c r="X207" s="119"/>
      <c r="Y207" s="119">
        <v>44349</v>
      </c>
      <c r="AA207" s="79"/>
      <c r="AC207" s="118">
        <v>44347</v>
      </c>
      <c r="AD207" s="79">
        <v>5</v>
      </c>
      <c r="AE207" s="79"/>
      <c r="AG207" s="117">
        <v>44345</v>
      </c>
      <c r="AH207" s="37"/>
      <c r="AI207" s="79"/>
      <c r="AK207" s="119">
        <v>44343</v>
      </c>
      <c r="AL207" s="79">
        <v>1</v>
      </c>
      <c r="AM207" s="149"/>
      <c r="AO207" s="152">
        <v>44352</v>
      </c>
      <c r="AP207" s="37"/>
      <c r="AQ207" s="118"/>
      <c r="AS207" s="152">
        <v>44352</v>
      </c>
      <c r="AT207" s="37"/>
      <c r="AU207" s="118"/>
      <c r="AW207" s="152">
        <v>44352</v>
      </c>
      <c r="AX207" s="37"/>
      <c r="AY207" s="118"/>
      <c r="BA207" s="152">
        <v>44352</v>
      </c>
      <c r="BB207" s="37"/>
      <c r="BC207" s="118"/>
      <c r="BE207" s="152">
        <v>44352</v>
      </c>
      <c r="BF207" s="37"/>
      <c r="BG207" s="118"/>
      <c r="BI207" s="152">
        <v>44352</v>
      </c>
      <c r="BJ207" s="37"/>
      <c r="BK207" s="118"/>
      <c r="BM207" s="152">
        <v>44352</v>
      </c>
      <c r="BN207" s="37"/>
      <c r="BO207" s="118"/>
      <c r="BQ207" s="152">
        <v>44352</v>
      </c>
      <c r="BR207" s="37"/>
      <c r="BS207" s="118"/>
      <c r="BU207" s="152">
        <v>44352</v>
      </c>
      <c r="BV207" s="37"/>
      <c r="BW207" s="118"/>
      <c r="BY207" s="152">
        <v>44352</v>
      </c>
      <c r="BZ207" s="37"/>
      <c r="CA207" s="118"/>
    </row>
    <row r="208" spans="1:79">
      <c r="A208" s="133">
        <v>44350</v>
      </c>
      <c r="C208" s="79"/>
      <c r="E208" s="80">
        <v>44347</v>
      </c>
      <c r="F208" s="120">
        <v>1</v>
      </c>
      <c r="G208" s="80"/>
      <c r="I208" s="119">
        <v>44344</v>
      </c>
      <c r="K208" s="79"/>
      <c r="N208" s="80">
        <v>44341</v>
      </c>
      <c r="O208" s="120">
        <v>2</v>
      </c>
      <c r="P208" s="120">
        <v>1</v>
      </c>
      <c r="R208" s="120">
        <v>4</v>
      </c>
      <c r="S208" s="125"/>
      <c r="U208" s="156">
        <v>44350</v>
      </c>
      <c r="W208" s="79"/>
      <c r="Y208" s="119">
        <v>44350</v>
      </c>
      <c r="AA208" s="79"/>
      <c r="AC208" s="118">
        <v>44348</v>
      </c>
      <c r="AD208" s="79">
        <v>6</v>
      </c>
      <c r="AE208" s="79"/>
      <c r="AG208" s="117">
        <v>44346</v>
      </c>
      <c r="AH208" s="37"/>
      <c r="AI208" s="79"/>
      <c r="AK208" s="119">
        <v>44344</v>
      </c>
      <c r="AL208">
        <v>2</v>
      </c>
      <c r="AM208" s="149"/>
      <c r="AO208" s="152">
        <v>44353</v>
      </c>
      <c r="AP208" s="37"/>
      <c r="AQ208" s="118"/>
      <c r="AR208" s="119"/>
      <c r="AS208" s="152">
        <v>44353</v>
      </c>
      <c r="AT208" s="37"/>
      <c r="AU208" s="118"/>
      <c r="AW208" s="152">
        <v>44353</v>
      </c>
      <c r="AX208" s="37"/>
      <c r="AY208" s="118"/>
      <c r="BA208" s="152">
        <v>44353</v>
      </c>
      <c r="BB208" s="37"/>
      <c r="BC208" s="118"/>
      <c r="BE208" s="152">
        <v>44353</v>
      </c>
      <c r="BF208" s="37"/>
      <c r="BG208" s="118"/>
      <c r="BI208" s="152">
        <v>44353</v>
      </c>
      <c r="BJ208" s="37"/>
      <c r="BK208" s="118"/>
      <c r="BL208" s="119"/>
      <c r="BM208" s="152">
        <v>44353</v>
      </c>
      <c r="BN208" s="37"/>
      <c r="BO208" s="118"/>
      <c r="BQ208" s="152">
        <v>44353</v>
      </c>
      <c r="BR208" s="37"/>
      <c r="BS208" s="118"/>
      <c r="BU208" s="152">
        <v>44353</v>
      </c>
      <c r="BV208" s="37"/>
      <c r="BW208" s="118"/>
      <c r="BY208" s="152">
        <v>44353</v>
      </c>
      <c r="BZ208" s="37"/>
      <c r="CA208" s="118"/>
    </row>
    <row r="209" spans="1:79">
      <c r="A209" s="133">
        <v>44351</v>
      </c>
      <c r="C209" s="79"/>
      <c r="D209" s="72"/>
      <c r="E209" s="80">
        <v>44348</v>
      </c>
      <c r="F209" s="120">
        <v>2</v>
      </c>
      <c r="G209" s="80"/>
      <c r="H209" s="72"/>
      <c r="I209" s="117">
        <v>44345</v>
      </c>
      <c r="J209" s="37"/>
      <c r="K209" s="79"/>
      <c r="L209" s="122"/>
      <c r="M209" s="122"/>
      <c r="N209" s="80">
        <v>44342</v>
      </c>
      <c r="O209" s="120">
        <v>3</v>
      </c>
      <c r="P209" s="120">
        <v>2</v>
      </c>
      <c r="Q209" s="72"/>
      <c r="R209" s="121">
        <f>COUNTA(R178:R208)</f>
        <v>21</v>
      </c>
      <c r="S209" s="137">
        <f>IF(R209&lt;=$A$45,1,R209/$A$45)</f>
        <v>3.5</v>
      </c>
      <c r="U209" s="156">
        <v>44351</v>
      </c>
      <c r="W209" s="79"/>
      <c r="X209" s="72"/>
      <c r="Y209" s="119">
        <v>44351</v>
      </c>
      <c r="AA209" s="79"/>
      <c r="AC209" s="118">
        <v>44349</v>
      </c>
      <c r="AD209" s="79">
        <v>7</v>
      </c>
      <c r="AE209" s="79"/>
      <c r="AG209" s="118">
        <v>44347</v>
      </c>
      <c r="AH209" s="79">
        <v>4</v>
      </c>
      <c r="AI209" s="79"/>
      <c r="AK209" s="117">
        <v>44345</v>
      </c>
      <c r="AL209" s="37"/>
      <c r="AM209" s="149"/>
      <c r="AO209" s="154">
        <v>44354</v>
      </c>
      <c r="AP209" s="79">
        <v>23</v>
      </c>
      <c r="AQ209" s="118"/>
      <c r="AS209" s="154">
        <v>44354</v>
      </c>
      <c r="AT209" s="79">
        <v>45</v>
      </c>
      <c r="AU209" s="118"/>
      <c r="AW209" s="154">
        <v>44354</v>
      </c>
      <c r="AX209" s="79">
        <v>67</v>
      </c>
      <c r="AY209" s="118"/>
      <c r="BA209" s="154">
        <v>44354</v>
      </c>
      <c r="BB209" s="79">
        <v>89</v>
      </c>
      <c r="BC209" s="118"/>
      <c r="BE209" s="154">
        <v>44354</v>
      </c>
      <c r="BF209" s="79">
        <v>108</v>
      </c>
      <c r="BG209" s="118"/>
      <c r="BI209" s="154">
        <v>44354</v>
      </c>
      <c r="BJ209" s="79">
        <v>23</v>
      </c>
      <c r="BK209" s="118"/>
      <c r="BM209" s="154">
        <v>44354</v>
      </c>
      <c r="BN209" s="79">
        <v>45</v>
      </c>
      <c r="BO209" s="118"/>
      <c r="BQ209" s="154">
        <v>44354</v>
      </c>
      <c r="BR209" s="79">
        <v>67</v>
      </c>
      <c r="BS209" s="118"/>
      <c r="BU209" s="154">
        <v>44354</v>
      </c>
      <c r="BV209" s="79">
        <v>89</v>
      </c>
      <c r="BW209" s="118"/>
      <c r="BY209" s="154">
        <v>44354</v>
      </c>
      <c r="BZ209" s="79">
        <v>108</v>
      </c>
      <c r="CA209" s="118"/>
    </row>
    <row r="210" spans="1:79">
      <c r="A210" s="129">
        <v>44352</v>
      </c>
      <c r="B210" s="37"/>
      <c r="C210" s="79"/>
      <c r="E210" s="119">
        <v>44349</v>
      </c>
      <c r="G210" s="80"/>
      <c r="I210" s="117">
        <v>44346</v>
      </c>
      <c r="J210" s="37"/>
      <c r="K210" s="79"/>
      <c r="N210" s="80">
        <v>44343</v>
      </c>
      <c r="O210" s="120">
        <v>4</v>
      </c>
      <c r="P210" s="120">
        <v>3</v>
      </c>
      <c r="R210" s="120">
        <v>5</v>
      </c>
      <c r="S210" s="125"/>
      <c r="U210" s="152">
        <v>44352</v>
      </c>
      <c r="V210" s="37"/>
      <c r="W210" s="79"/>
      <c r="Y210" s="117">
        <v>44352</v>
      </c>
      <c r="Z210" s="37"/>
      <c r="AA210" s="79"/>
      <c r="AC210" s="119">
        <v>44350</v>
      </c>
      <c r="AE210" s="79"/>
      <c r="AG210" s="118">
        <v>44348</v>
      </c>
      <c r="AH210" s="79">
        <v>5</v>
      </c>
      <c r="AI210" s="79"/>
      <c r="AK210" s="117">
        <v>44346</v>
      </c>
      <c r="AL210" s="37"/>
      <c r="AM210" s="149"/>
      <c r="AO210" s="156">
        <v>44355</v>
      </c>
      <c r="AQ210" s="118"/>
      <c r="AR210" s="72"/>
      <c r="AS210" s="156">
        <v>44355</v>
      </c>
      <c r="AT210">
        <v>46</v>
      </c>
      <c r="AU210" s="118"/>
      <c r="AW210" s="156">
        <v>44355</v>
      </c>
      <c r="AX210">
        <v>68</v>
      </c>
      <c r="AY210" s="118"/>
      <c r="BA210" s="156">
        <v>44355</v>
      </c>
      <c r="BB210" s="79">
        <v>90</v>
      </c>
      <c r="BC210" s="118"/>
      <c r="BE210" s="156">
        <v>44355</v>
      </c>
      <c r="BF210" s="79">
        <v>109</v>
      </c>
      <c r="BG210" s="118"/>
      <c r="BI210" s="156">
        <v>44355</v>
      </c>
      <c r="BK210" s="118"/>
      <c r="BL210" s="72"/>
      <c r="BM210" s="156">
        <v>44355</v>
      </c>
      <c r="BN210">
        <v>46</v>
      </c>
      <c r="BO210" s="118"/>
      <c r="BQ210" s="156">
        <v>44355</v>
      </c>
      <c r="BR210">
        <v>68</v>
      </c>
      <c r="BS210" s="118"/>
      <c r="BU210" s="156">
        <v>44355</v>
      </c>
      <c r="BV210" s="79">
        <v>90</v>
      </c>
      <c r="BW210" s="118"/>
      <c r="BY210" s="156">
        <v>44355</v>
      </c>
      <c r="BZ210" s="79">
        <v>109</v>
      </c>
      <c r="CA210" s="118"/>
    </row>
    <row r="211" spans="1:79">
      <c r="A211" s="129">
        <v>44353</v>
      </c>
      <c r="B211" s="37"/>
      <c r="C211" s="79"/>
      <c r="E211" s="119">
        <v>44350</v>
      </c>
      <c r="G211" s="80"/>
      <c r="I211" s="118">
        <v>44347</v>
      </c>
      <c r="J211" s="79">
        <v>4</v>
      </c>
      <c r="K211" s="79"/>
      <c r="L211" s="37"/>
      <c r="M211" s="37"/>
      <c r="N211" s="80">
        <v>44344</v>
      </c>
      <c r="O211" s="120">
        <v>5</v>
      </c>
      <c r="P211" s="120">
        <v>4</v>
      </c>
      <c r="R211" s="37"/>
      <c r="S211" s="130"/>
      <c r="U211" s="152">
        <v>44353</v>
      </c>
      <c r="V211" s="37"/>
      <c r="W211" s="79"/>
      <c r="Y211" s="117">
        <v>44353</v>
      </c>
      <c r="Z211" s="37"/>
      <c r="AA211" s="79"/>
      <c r="AC211" s="119">
        <v>44351</v>
      </c>
      <c r="AE211" s="79"/>
      <c r="AG211" s="118">
        <v>44349</v>
      </c>
      <c r="AH211" s="79">
        <v>6</v>
      </c>
      <c r="AI211" s="79"/>
      <c r="AK211" s="118">
        <v>44347</v>
      </c>
      <c r="AL211" s="79">
        <v>3</v>
      </c>
      <c r="AM211" s="149"/>
      <c r="AO211" s="156">
        <v>44356</v>
      </c>
      <c r="AQ211" s="118"/>
      <c r="AS211" s="156">
        <v>44356</v>
      </c>
      <c r="AU211" s="118"/>
      <c r="AW211" s="156">
        <v>44356</v>
      </c>
      <c r="AX211">
        <v>69</v>
      </c>
      <c r="AY211" s="118"/>
      <c r="BA211" s="156">
        <v>44356</v>
      </c>
      <c r="BB211" s="79">
        <v>91</v>
      </c>
      <c r="BC211" s="118"/>
      <c r="BE211" s="156">
        <v>44356</v>
      </c>
      <c r="BF211" s="79">
        <v>110</v>
      </c>
      <c r="BG211" s="118"/>
      <c r="BI211" s="156">
        <v>44356</v>
      </c>
      <c r="BK211" s="118"/>
      <c r="BM211" s="156">
        <v>44356</v>
      </c>
      <c r="BO211" s="118"/>
      <c r="BQ211" s="156">
        <v>44356</v>
      </c>
      <c r="BR211">
        <v>69</v>
      </c>
      <c r="BS211" s="118"/>
      <c r="BU211" s="156">
        <v>44356</v>
      </c>
      <c r="BV211" s="79">
        <v>91</v>
      </c>
      <c r="BW211" s="118"/>
      <c r="BY211" s="156">
        <v>44356</v>
      </c>
      <c r="BZ211" s="79">
        <v>110</v>
      </c>
      <c r="CA211" s="118"/>
    </row>
    <row r="212" spans="1:79">
      <c r="A212" s="131">
        <v>44354</v>
      </c>
      <c r="B212" s="79">
        <v>4</v>
      </c>
      <c r="C212" s="79"/>
      <c r="E212" s="119">
        <v>44351</v>
      </c>
      <c r="G212" s="80"/>
      <c r="I212" s="118">
        <v>44348</v>
      </c>
      <c r="J212" s="79">
        <v>5</v>
      </c>
      <c r="K212" s="79"/>
      <c r="L212" s="37"/>
      <c r="M212" s="37"/>
      <c r="N212" s="117">
        <v>44345</v>
      </c>
      <c r="O212" s="37"/>
      <c r="P212" s="37"/>
      <c r="R212" s="37"/>
      <c r="S212" s="130"/>
      <c r="U212" s="154">
        <v>44354</v>
      </c>
      <c r="V212" s="79">
        <v>4</v>
      </c>
      <c r="W212" s="79"/>
      <c r="Y212" s="118">
        <v>44354</v>
      </c>
      <c r="Z212" s="79">
        <v>7</v>
      </c>
      <c r="AA212" s="79"/>
      <c r="AC212" s="117">
        <v>44352</v>
      </c>
      <c r="AD212" s="37"/>
      <c r="AE212" s="79"/>
      <c r="AG212" s="118">
        <v>44350</v>
      </c>
      <c r="AH212" s="79">
        <v>7</v>
      </c>
      <c r="AI212" s="79"/>
      <c r="AK212" s="119">
        <v>44348</v>
      </c>
      <c r="AL212" s="79">
        <v>4</v>
      </c>
      <c r="AM212" s="149"/>
      <c r="AO212" s="156">
        <v>44357</v>
      </c>
      <c r="AQ212" s="118"/>
      <c r="AS212" s="156">
        <v>44357</v>
      </c>
      <c r="AU212" s="118"/>
      <c r="AW212" s="156">
        <v>44357</v>
      </c>
      <c r="AY212" s="118"/>
      <c r="BA212" s="156">
        <v>44357</v>
      </c>
      <c r="BB212" s="79">
        <v>92</v>
      </c>
      <c r="BC212" s="118"/>
      <c r="BE212" s="156">
        <v>44357</v>
      </c>
      <c r="BF212" s="79">
        <v>111</v>
      </c>
      <c r="BG212" s="118"/>
      <c r="BI212" s="156">
        <v>44357</v>
      </c>
      <c r="BK212" s="118"/>
      <c r="BM212" s="156">
        <v>44357</v>
      </c>
      <c r="BO212" s="118"/>
      <c r="BQ212" s="156">
        <v>44357</v>
      </c>
      <c r="BS212" s="118"/>
      <c r="BU212" s="156">
        <v>44357</v>
      </c>
      <c r="BV212" s="79">
        <v>92</v>
      </c>
      <c r="BW212" s="118"/>
      <c r="BY212" s="156">
        <v>44357</v>
      </c>
      <c r="BZ212" s="79">
        <v>111</v>
      </c>
      <c r="CA212" s="118"/>
    </row>
    <row r="213" spans="1:79">
      <c r="A213" s="133">
        <v>44355</v>
      </c>
      <c r="C213" s="79"/>
      <c r="E213" s="117">
        <v>44352</v>
      </c>
      <c r="F213" s="37"/>
      <c r="G213" s="80"/>
      <c r="I213" s="118">
        <v>44349</v>
      </c>
      <c r="J213" s="79">
        <v>6</v>
      </c>
      <c r="K213" s="79"/>
      <c r="L213" s="119"/>
      <c r="M213" s="119"/>
      <c r="N213" s="117">
        <v>44346</v>
      </c>
      <c r="O213" s="37"/>
      <c r="P213" s="37"/>
      <c r="R213" s="120">
        <v>6</v>
      </c>
      <c r="S213" s="125"/>
      <c r="U213" s="156">
        <v>44355</v>
      </c>
      <c r="W213" s="118"/>
      <c r="Y213" s="118">
        <v>44355</v>
      </c>
      <c r="Z213" s="79">
        <v>8</v>
      </c>
      <c r="AA213" s="79"/>
      <c r="AC213" s="117">
        <v>44353</v>
      </c>
      <c r="AD213" s="37"/>
      <c r="AE213" s="79"/>
      <c r="AG213" s="119">
        <v>44351</v>
      </c>
      <c r="AI213" s="79"/>
      <c r="AK213" s="119">
        <v>44349</v>
      </c>
      <c r="AL213" s="79">
        <v>5</v>
      </c>
      <c r="AM213" s="149"/>
      <c r="AO213" s="156">
        <v>44358</v>
      </c>
      <c r="AQ213" s="118"/>
      <c r="AS213" s="156">
        <v>44358</v>
      </c>
      <c r="AU213" s="118"/>
      <c r="AW213" s="156">
        <v>44358</v>
      </c>
      <c r="AY213" s="118"/>
      <c r="BA213" s="156">
        <v>44358</v>
      </c>
      <c r="BC213" s="118"/>
      <c r="BE213" s="156">
        <v>44358</v>
      </c>
      <c r="BF213" s="79">
        <v>112</v>
      </c>
      <c r="BG213" s="118"/>
      <c r="BI213" s="156">
        <v>44358</v>
      </c>
      <c r="BK213" s="118"/>
      <c r="BM213" s="156">
        <v>44358</v>
      </c>
      <c r="BO213" s="118"/>
      <c r="BQ213" s="156">
        <v>44358</v>
      </c>
      <c r="BS213" s="118"/>
      <c r="BU213" s="156">
        <v>44358</v>
      </c>
      <c r="BW213" s="118"/>
      <c r="BY213" s="156">
        <v>44358</v>
      </c>
      <c r="BZ213" s="79">
        <v>112</v>
      </c>
      <c r="CA213" s="118"/>
    </row>
    <row r="214" spans="1:79">
      <c r="A214" s="133">
        <v>44356</v>
      </c>
      <c r="C214" s="79"/>
      <c r="D214" s="119"/>
      <c r="E214" s="117">
        <v>44353</v>
      </c>
      <c r="F214" s="37"/>
      <c r="G214" s="80"/>
      <c r="H214" s="119"/>
      <c r="I214" s="121" t="s">
        <v>85</v>
      </c>
      <c r="J214" s="121">
        <f>COUNTA(J205:J213)</f>
        <v>6</v>
      </c>
      <c r="K214" s="122">
        <f>IF(J214&lt;=$A$45,1,J214/$A$45)</f>
        <v>1</v>
      </c>
      <c r="L214" s="119"/>
      <c r="M214" s="119"/>
      <c r="N214" s="80">
        <v>44347</v>
      </c>
      <c r="O214" s="120">
        <v>6</v>
      </c>
      <c r="P214" s="120">
        <v>1</v>
      </c>
      <c r="Q214" s="119"/>
      <c r="R214" s="79">
        <v>1</v>
      </c>
      <c r="S214" s="132"/>
      <c r="U214" s="156">
        <v>44356</v>
      </c>
      <c r="W214" s="79"/>
      <c r="X214" s="119"/>
      <c r="Y214" s="119">
        <v>44356</v>
      </c>
      <c r="AA214" s="79"/>
      <c r="AC214" s="118">
        <v>44354</v>
      </c>
      <c r="AD214" s="79">
        <v>8</v>
      </c>
      <c r="AE214" s="79"/>
      <c r="AG214" s="117">
        <v>44352</v>
      </c>
      <c r="AH214" s="37"/>
      <c r="AI214" s="79"/>
      <c r="AK214" s="119">
        <v>44350</v>
      </c>
      <c r="AL214" s="79">
        <v>6</v>
      </c>
      <c r="AM214" s="149"/>
      <c r="AO214" s="152">
        <v>44359</v>
      </c>
      <c r="AP214" s="37"/>
      <c r="AQ214" s="118"/>
      <c r="AS214" s="152">
        <v>44359</v>
      </c>
      <c r="AT214" s="37"/>
      <c r="AU214" s="118"/>
      <c r="AW214" s="152">
        <v>44359</v>
      </c>
      <c r="AX214" s="37"/>
      <c r="AY214" s="118"/>
      <c r="BA214" s="152">
        <v>44359</v>
      </c>
      <c r="BB214" s="37"/>
      <c r="BC214" s="118"/>
      <c r="BE214" s="152">
        <v>44359</v>
      </c>
      <c r="BF214" s="37"/>
      <c r="BG214" s="118"/>
      <c r="BI214" s="152">
        <v>44359</v>
      </c>
      <c r="BJ214" s="37"/>
      <c r="BK214" s="118"/>
      <c r="BM214" s="152">
        <v>44359</v>
      </c>
      <c r="BN214" s="37"/>
      <c r="BO214" s="118"/>
      <c r="BQ214" s="152">
        <v>44359</v>
      </c>
      <c r="BR214" s="37"/>
      <c r="BS214" s="118"/>
      <c r="BU214" s="152">
        <v>44359</v>
      </c>
      <c r="BV214" s="37"/>
      <c r="BW214" s="118"/>
      <c r="BY214" s="152">
        <v>44359</v>
      </c>
      <c r="BZ214" s="37"/>
      <c r="CA214" s="118"/>
    </row>
    <row r="215" spans="1:79">
      <c r="A215" s="133">
        <v>44357</v>
      </c>
      <c r="C215" s="79"/>
      <c r="E215" s="80">
        <v>44354</v>
      </c>
      <c r="F215" s="120">
        <v>3</v>
      </c>
      <c r="G215" s="80"/>
      <c r="I215" s="119">
        <v>44350</v>
      </c>
      <c r="N215" s="121" t="s">
        <v>85</v>
      </c>
      <c r="O215" s="121">
        <f>COUNTA(O203:O214)</f>
        <v>6</v>
      </c>
      <c r="P215" s="122">
        <f>IF(O215&lt;=$A$45,1,O215/$A$45)</f>
        <v>1</v>
      </c>
      <c r="R215" s="79">
        <v>2</v>
      </c>
      <c r="S215" s="134"/>
      <c r="U215" s="156">
        <v>44357</v>
      </c>
      <c r="W215" s="79"/>
      <c r="Y215" s="119">
        <v>44357</v>
      </c>
      <c r="AA215" s="79"/>
      <c r="AC215" s="118">
        <v>44355</v>
      </c>
      <c r="AD215" s="79">
        <v>9</v>
      </c>
      <c r="AE215" s="79"/>
      <c r="AG215" s="117">
        <v>44353</v>
      </c>
      <c r="AH215" s="37"/>
      <c r="AI215" s="79"/>
      <c r="AK215" s="119">
        <v>44351</v>
      </c>
      <c r="AL215" s="79">
        <v>7</v>
      </c>
      <c r="AM215" s="149"/>
      <c r="AO215" s="152">
        <v>44360</v>
      </c>
      <c r="AP215" s="37"/>
      <c r="AQ215" s="118"/>
      <c r="AR215" s="119"/>
      <c r="AS215" s="152">
        <v>44360</v>
      </c>
      <c r="AT215" s="37"/>
      <c r="AU215" s="118"/>
      <c r="AW215" s="152">
        <v>44360</v>
      </c>
      <c r="AX215" s="37"/>
      <c r="AY215" s="118"/>
      <c r="BA215" s="152">
        <v>44360</v>
      </c>
      <c r="BB215" s="37"/>
      <c r="BC215" s="118"/>
      <c r="BE215" s="152">
        <v>44360</v>
      </c>
      <c r="BF215" s="37"/>
      <c r="BG215" s="118"/>
      <c r="BI215" s="152">
        <v>44360</v>
      </c>
      <c r="BJ215" s="37"/>
      <c r="BK215" s="118"/>
      <c r="BL215" s="119"/>
      <c r="BM215" s="152">
        <v>44360</v>
      </c>
      <c r="BN215" s="37"/>
      <c r="BO215" s="118"/>
      <c r="BQ215" s="152">
        <v>44360</v>
      </c>
      <c r="BR215" s="37"/>
      <c r="BS215" s="118"/>
      <c r="BU215" s="152">
        <v>44360</v>
      </c>
      <c r="BV215" s="37"/>
      <c r="BW215" s="118"/>
      <c r="BY215" s="152">
        <v>44360</v>
      </c>
      <c r="BZ215" s="37"/>
      <c r="CA215" s="118"/>
    </row>
    <row r="216" spans="1:79">
      <c r="A216" s="133">
        <v>44358</v>
      </c>
      <c r="C216" s="79"/>
      <c r="E216" s="80">
        <v>44355</v>
      </c>
      <c r="F216" s="120">
        <v>4</v>
      </c>
      <c r="G216" s="80"/>
      <c r="I216" s="119">
        <v>44351</v>
      </c>
      <c r="N216" s="118">
        <v>44348</v>
      </c>
      <c r="O216" s="79">
        <v>1</v>
      </c>
      <c r="P216" s="79">
        <v>2</v>
      </c>
      <c r="R216" s="79">
        <v>3</v>
      </c>
      <c r="S216" s="134"/>
      <c r="U216" s="156">
        <v>44358</v>
      </c>
      <c r="W216" s="79"/>
      <c r="Y216" s="119">
        <v>44358</v>
      </c>
      <c r="AA216" s="79"/>
      <c r="AC216" s="118">
        <v>44356</v>
      </c>
      <c r="AD216" s="79">
        <v>10</v>
      </c>
      <c r="AE216" s="79"/>
      <c r="AG216" s="118">
        <v>44354</v>
      </c>
      <c r="AH216" s="79">
        <v>8</v>
      </c>
      <c r="AI216" s="79"/>
      <c r="AK216" s="117">
        <v>44352</v>
      </c>
      <c r="AL216" s="37"/>
      <c r="AM216" s="149"/>
      <c r="AO216" s="154">
        <v>44361</v>
      </c>
      <c r="AP216" s="79">
        <v>24</v>
      </c>
      <c r="AQ216" s="118"/>
      <c r="AS216" s="154">
        <v>44361</v>
      </c>
      <c r="AT216" s="79">
        <v>47</v>
      </c>
      <c r="AU216" s="118"/>
      <c r="AW216" s="154">
        <v>44361</v>
      </c>
      <c r="AX216" s="79">
        <v>70</v>
      </c>
      <c r="AY216" s="118"/>
      <c r="BA216" s="154">
        <v>44361</v>
      </c>
      <c r="BB216" s="79">
        <v>93</v>
      </c>
      <c r="BC216" s="118"/>
      <c r="BE216" s="154">
        <v>44361</v>
      </c>
      <c r="BF216" s="79">
        <v>113</v>
      </c>
      <c r="BG216" s="118"/>
      <c r="BI216" s="154">
        <v>44361</v>
      </c>
      <c r="BJ216" s="79">
        <v>24</v>
      </c>
      <c r="BK216" s="118"/>
      <c r="BM216" s="154">
        <v>44361</v>
      </c>
      <c r="BN216" s="79">
        <v>47</v>
      </c>
      <c r="BO216" s="118"/>
      <c r="BQ216" s="154">
        <v>44361</v>
      </c>
      <c r="BR216" s="79">
        <v>70</v>
      </c>
      <c r="BS216" s="118"/>
      <c r="BU216" s="154">
        <v>44361</v>
      </c>
      <c r="BV216" s="79">
        <v>93</v>
      </c>
      <c r="BW216" s="118"/>
      <c r="BY216" s="154">
        <v>44361</v>
      </c>
      <c r="BZ216" s="79">
        <v>113</v>
      </c>
      <c r="CA216" s="118"/>
    </row>
    <row r="217" spans="1:79">
      <c r="A217" s="129">
        <v>44359</v>
      </c>
      <c r="B217" s="37"/>
      <c r="C217" s="79"/>
      <c r="E217" s="119">
        <v>44356</v>
      </c>
      <c r="G217" s="80"/>
      <c r="I217" s="117">
        <v>44352</v>
      </c>
      <c r="J217" s="37"/>
      <c r="K217" s="37"/>
      <c r="N217" s="118">
        <v>44349</v>
      </c>
      <c r="O217" s="79">
        <v>2</v>
      </c>
      <c r="P217" s="79">
        <v>3</v>
      </c>
      <c r="R217" s="79">
        <v>4</v>
      </c>
      <c r="S217" s="134"/>
      <c r="U217" s="152">
        <v>44359</v>
      </c>
      <c r="V217" s="37"/>
      <c r="W217" s="79"/>
      <c r="Y217" s="117">
        <v>44359</v>
      </c>
      <c r="Z217" s="37"/>
      <c r="AA217" s="79"/>
      <c r="AC217" s="121" t="s">
        <v>85</v>
      </c>
      <c r="AD217" s="121">
        <f>COUNTA(AD195:AD216)</f>
        <v>10</v>
      </c>
      <c r="AE217" s="122">
        <f>IF(AD217&lt;=$U$45,1,AD217/$U$45)</f>
        <v>1</v>
      </c>
      <c r="AG217" s="118">
        <v>44355</v>
      </c>
      <c r="AH217" s="79">
        <v>9</v>
      </c>
      <c r="AI217" s="79"/>
      <c r="AK217" s="117">
        <v>44353</v>
      </c>
      <c r="AL217" s="37"/>
      <c r="AM217" s="149"/>
      <c r="AO217" s="156">
        <v>44362</v>
      </c>
      <c r="AQ217" s="118"/>
      <c r="AS217" s="156">
        <v>44362</v>
      </c>
      <c r="AT217">
        <v>48</v>
      </c>
      <c r="AU217" s="118"/>
      <c r="AW217" s="156">
        <v>44362</v>
      </c>
      <c r="AX217">
        <v>71</v>
      </c>
      <c r="AY217" s="118"/>
      <c r="BA217" s="156">
        <v>44362</v>
      </c>
      <c r="BB217" s="79">
        <v>94</v>
      </c>
      <c r="BC217" s="118"/>
      <c r="BE217" s="156">
        <v>44362</v>
      </c>
      <c r="BF217" s="79">
        <v>114</v>
      </c>
      <c r="BG217" s="118"/>
      <c r="BI217" s="156">
        <v>44362</v>
      </c>
      <c r="BK217" s="118"/>
      <c r="BM217" s="156">
        <v>44362</v>
      </c>
      <c r="BN217">
        <v>48</v>
      </c>
      <c r="BO217" s="118"/>
      <c r="BQ217" s="156">
        <v>44362</v>
      </c>
      <c r="BR217">
        <v>71</v>
      </c>
      <c r="BS217" s="118"/>
      <c r="BU217" s="156">
        <v>44362</v>
      </c>
      <c r="BV217" s="79">
        <v>94</v>
      </c>
      <c r="BW217" s="118"/>
      <c r="BY217" s="156">
        <v>44362</v>
      </c>
      <c r="BZ217" s="79">
        <v>114</v>
      </c>
      <c r="CA217" s="118"/>
    </row>
    <row r="218" spans="1:79">
      <c r="A218" s="129">
        <v>44360</v>
      </c>
      <c r="B218" s="37"/>
      <c r="C218" s="79"/>
      <c r="E218" s="119">
        <v>44357</v>
      </c>
      <c r="G218" s="80"/>
      <c r="I218" s="117">
        <v>44353</v>
      </c>
      <c r="J218" s="37"/>
      <c r="K218" s="37"/>
      <c r="L218" s="37"/>
      <c r="M218" s="37"/>
      <c r="N218" s="118">
        <v>44350</v>
      </c>
      <c r="O218" s="79">
        <v>3</v>
      </c>
      <c r="P218" s="79">
        <v>4</v>
      </c>
      <c r="R218" s="37"/>
      <c r="S218" s="130"/>
      <c r="U218" s="152">
        <v>44360</v>
      </c>
      <c r="V218" s="37"/>
      <c r="W218" s="79"/>
      <c r="Y218" s="117">
        <v>44360</v>
      </c>
      <c r="Z218" s="37"/>
      <c r="AA218" s="79"/>
      <c r="AC218" s="119">
        <v>44357</v>
      </c>
      <c r="AG218" s="118">
        <v>44356</v>
      </c>
      <c r="AH218" s="79">
        <v>10</v>
      </c>
      <c r="AI218" s="79"/>
      <c r="AK218" s="118">
        <v>44354</v>
      </c>
      <c r="AL218" s="79">
        <v>8</v>
      </c>
      <c r="AM218" s="149"/>
      <c r="AO218" s="156">
        <v>44363</v>
      </c>
      <c r="AQ218" s="118"/>
      <c r="AS218" s="156">
        <v>44363</v>
      </c>
      <c r="AU218" s="118"/>
      <c r="AW218" s="156">
        <v>44363</v>
      </c>
      <c r="AX218">
        <v>72</v>
      </c>
      <c r="AY218" s="118"/>
      <c r="BA218" s="156">
        <v>44363</v>
      </c>
      <c r="BB218" s="79">
        <v>95</v>
      </c>
      <c r="BC218" s="118"/>
      <c r="BE218" s="156">
        <v>44363</v>
      </c>
      <c r="BF218" s="79">
        <v>115</v>
      </c>
      <c r="BG218" s="118"/>
      <c r="BI218" s="156">
        <v>44363</v>
      </c>
      <c r="BK218" s="118"/>
      <c r="BM218" s="156">
        <v>44363</v>
      </c>
      <c r="BO218" s="118"/>
      <c r="BQ218" s="156">
        <v>44363</v>
      </c>
      <c r="BR218">
        <v>72</v>
      </c>
      <c r="BS218" s="118"/>
      <c r="BU218" s="156">
        <v>44363</v>
      </c>
      <c r="BV218" s="79">
        <v>95</v>
      </c>
      <c r="BW218" s="118"/>
      <c r="BY218" s="156">
        <v>44363</v>
      </c>
      <c r="BZ218" s="79">
        <v>115</v>
      </c>
      <c r="CA218" s="118"/>
    </row>
    <row r="219" spans="1:79">
      <c r="A219" s="131">
        <v>44361</v>
      </c>
      <c r="B219" s="79">
        <v>5</v>
      </c>
      <c r="C219" s="79"/>
      <c r="E219" s="119">
        <v>44358</v>
      </c>
      <c r="G219" s="80"/>
      <c r="I219" s="80">
        <v>44354</v>
      </c>
      <c r="J219" s="120">
        <v>1</v>
      </c>
      <c r="K219" s="80"/>
      <c r="L219" s="37"/>
      <c r="M219" s="37"/>
      <c r="N219" s="119">
        <v>44351</v>
      </c>
      <c r="R219" s="37"/>
      <c r="S219" s="130"/>
      <c r="U219" s="154">
        <v>44361</v>
      </c>
      <c r="V219" s="79">
        <v>512</v>
      </c>
      <c r="W219" s="118"/>
      <c r="Y219" s="118">
        <v>44361</v>
      </c>
      <c r="Z219" s="79">
        <v>9</v>
      </c>
      <c r="AA219" s="79"/>
      <c r="AC219" s="119">
        <v>44358</v>
      </c>
      <c r="AG219" s="121" t="s">
        <v>85</v>
      </c>
      <c r="AH219" s="121">
        <f>COUNTA(AH203:AH218)</f>
        <v>10</v>
      </c>
      <c r="AI219" s="122">
        <f>IF(AH219&lt;=$U$45,1,AH219/$U$45)</f>
        <v>1</v>
      </c>
      <c r="AK219" s="119">
        <v>44355</v>
      </c>
      <c r="AL219" s="79">
        <v>9</v>
      </c>
      <c r="AM219" s="149"/>
      <c r="AO219" s="156">
        <v>44364</v>
      </c>
      <c r="AQ219" s="118"/>
      <c r="AS219" s="156">
        <v>44364</v>
      </c>
      <c r="AU219" s="118"/>
      <c r="AW219" s="156">
        <v>44364</v>
      </c>
      <c r="AY219" s="118"/>
      <c r="BA219" s="156">
        <v>44364</v>
      </c>
      <c r="BB219" s="79">
        <v>96</v>
      </c>
      <c r="BC219" s="118"/>
      <c r="BE219" s="156">
        <v>44364</v>
      </c>
      <c r="BF219" s="79">
        <v>116</v>
      </c>
      <c r="BG219" s="118"/>
      <c r="BI219" s="156">
        <v>44364</v>
      </c>
      <c r="BK219" s="118"/>
      <c r="BM219" s="156">
        <v>44364</v>
      </c>
      <c r="BO219" s="118"/>
      <c r="BQ219" s="156">
        <v>44364</v>
      </c>
      <c r="BS219" s="118"/>
      <c r="BU219" s="156">
        <v>44364</v>
      </c>
      <c r="BV219" s="79">
        <v>96</v>
      </c>
      <c r="BW219" s="118"/>
      <c r="BY219" s="156">
        <v>44364</v>
      </c>
      <c r="BZ219" s="79">
        <v>116</v>
      </c>
      <c r="CA219" s="118"/>
    </row>
    <row r="220" spans="1:79">
      <c r="A220" s="133">
        <v>44362</v>
      </c>
      <c r="C220" s="79"/>
      <c r="D220" s="119"/>
      <c r="E220" s="117">
        <v>44359</v>
      </c>
      <c r="F220" s="37"/>
      <c r="G220" s="80"/>
      <c r="H220" s="119"/>
      <c r="I220" s="80">
        <v>44355</v>
      </c>
      <c r="J220" s="120">
        <v>2</v>
      </c>
      <c r="K220" s="80"/>
      <c r="L220" s="119"/>
      <c r="M220" s="119"/>
      <c r="N220" s="117">
        <v>44352</v>
      </c>
      <c r="O220" s="37"/>
      <c r="P220" s="37"/>
      <c r="Q220" s="119"/>
      <c r="R220" s="79">
        <v>5</v>
      </c>
      <c r="S220" s="134"/>
      <c r="U220" s="156">
        <v>44362</v>
      </c>
      <c r="W220" s="79"/>
      <c r="X220" s="119"/>
      <c r="Y220" s="118">
        <v>44362</v>
      </c>
      <c r="Z220" s="79">
        <v>10</v>
      </c>
      <c r="AA220" s="79"/>
      <c r="AC220" s="117">
        <v>44359</v>
      </c>
      <c r="AD220" s="37"/>
      <c r="AE220" s="37"/>
      <c r="AG220" s="80">
        <v>44357</v>
      </c>
      <c r="AH220" s="120">
        <v>1</v>
      </c>
      <c r="AI220" s="80"/>
      <c r="AK220" s="119">
        <v>44356</v>
      </c>
      <c r="AL220" s="79">
        <v>10</v>
      </c>
      <c r="AM220" s="149"/>
      <c r="AO220" s="156">
        <v>44365</v>
      </c>
      <c r="AQ220" s="118"/>
      <c r="AS220" s="156">
        <v>44365</v>
      </c>
      <c r="AU220" s="118"/>
      <c r="AW220" s="156">
        <v>44365</v>
      </c>
      <c r="AY220" s="118"/>
      <c r="BA220" s="156">
        <v>44365</v>
      </c>
      <c r="BC220" s="118"/>
      <c r="BE220" s="156">
        <v>44365</v>
      </c>
      <c r="BF220" s="79">
        <v>117</v>
      </c>
      <c r="BG220" s="118"/>
      <c r="BI220" s="156">
        <v>44365</v>
      </c>
      <c r="BK220" s="118"/>
      <c r="BM220" s="156">
        <v>44365</v>
      </c>
      <c r="BO220" s="118"/>
      <c r="BQ220" s="156">
        <v>44365</v>
      </c>
      <c r="BS220" s="118"/>
      <c r="BU220" s="156">
        <v>44365</v>
      </c>
      <c r="BW220" s="118"/>
      <c r="BY220" s="156">
        <v>44365</v>
      </c>
      <c r="BZ220" s="79">
        <v>117</v>
      </c>
      <c r="CA220" s="118"/>
    </row>
    <row r="221" spans="1:79">
      <c r="A221" s="133">
        <v>44363</v>
      </c>
      <c r="C221" s="79"/>
      <c r="E221" s="117">
        <v>44360</v>
      </c>
      <c r="F221" s="37"/>
      <c r="G221" s="80"/>
      <c r="I221" s="80">
        <v>44356</v>
      </c>
      <c r="J221" s="120">
        <v>3</v>
      </c>
      <c r="K221" s="80"/>
      <c r="N221" s="117">
        <v>44353</v>
      </c>
      <c r="O221" s="37"/>
      <c r="P221" s="37"/>
      <c r="R221" s="79">
        <v>6</v>
      </c>
      <c r="S221" s="134"/>
      <c r="U221" s="156">
        <v>44363</v>
      </c>
      <c r="W221" s="118"/>
      <c r="Y221" s="119">
        <v>44363</v>
      </c>
      <c r="AA221" s="79"/>
      <c r="AC221" s="117">
        <v>44360</v>
      </c>
      <c r="AD221" s="37"/>
      <c r="AE221" s="37"/>
      <c r="AG221" s="119">
        <v>44358</v>
      </c>
      <c r="AI221" s="80"/>
      <c r="AK221" s="121" t="s">
        <v>85</v>
      </c>
      <c r="AL221" s="121">
        <f>COUNTA(AL207:AL220)</f>
        <v>10</v>
      </c>
      <c r="AM221" s="158">
        <f>IF(AL221&lt;=$U$45,1,AL221/$U$45)</f>
        <v>1</v>
      </c>
      <c r="AO221" s="152">
        <v>44366</v>
      </c>
      <c r="AP221" s="37"/>
      <c r="AQ221" s="118"/>
      <c r="AR221" s="119"/>
      <c r="AS221" s="152">
        <v>44366</v>
      </c>
      <c r="AT221" s="37"/>
      <c r="AU221" s="118"/>
      <c r="AW221" s="152">
        <v>44366</v>
      </c>
      <c r="AX221" s="37"/>
      <c r="AY221" s="118"/>
      <c r="BA221" s="152">
        <v>44366</v>
      </c>
      <c r="BB221" s="37"/>
      <c r="BC221" s="118"/>
      <c r="BE221" s="152">
        <v>44366</v>
      </c>
      <c r="BF221" s="37"/>
      <c r="BG221" s="118"/>
      <c r="BI221" s="152">
        <v>44366</v>
      </c>
      <c r="BJ221" s="37"/>
      <c r="BK221" s="118"/>
      <c r="BL221" s="119"/>
      <c r="BM221" s="152">
        <v>44366</v>
      </c>
      <c r="BN221" s="37"/>
      <c r="BO221" s="118"/>
      <c r="BQ221" s="152">
        <v>44366</v>
      </c>
      <c r="BR221" s="37"/>
      <c r="BS221" s="118"/>
      <c r="BU221" s="152">
        <v>44366</v>
      </c>
      <c r="BV221" s="37"/>
      <c r="BW221" s="118"/>
      <c r="BY221" s="152">
        <v>44366</v>
      </c>
      <c r="BZ221" s="37"/>
      <c r="CA221" s="118"/>
    </row>
    <row r="222" spans="1:79">
      <c r="A222" s="136" t="s">
        <v>85</v>
      </c>
      <c r="B222" s="121">
        <f>COUNTA(B191:B221)</f>
        <v>5</v>
      </c>
      <c r="C222" s="122">
        <f>IF(B222&lt;=$A$45,1,B222/$A$45)</f>
        <v>1</v>
      </c>
      <c r="D222" s="119"/>
      <c r="E222" s="80">
        <v>44361</v>
      </c>
      <c r="F222" s="120">
        <v>5</v>
      </c>
      <c r="G222" s="80"/>
      <c r="H222" s="119"/>
      <c r="I222" s="119">
        <v>44357</v>
      </c>
      <c r="K222" s="80"/>
      <c r="L222" s="119"/>
      <c r="M222" s="119"/>
      <c r="N222" s="118">
        <v>44354</v>
      </c>
      <c r="O222" s="79">
        <v>4</v>
      </c>
      <c r="P222" s="79">
        <v>1</v>
      </c>
      <c r="Q222" s="119"/>
      <c r="R222" s="120">
        <v>1</v>
      </c>
      <c r="S222" s="135"/>
      <c r="U222" s="160" t="s">
        <v>85</v>
      </c>
      <c r="V222" s="121">
        <f>COUNTA(V191:V221)</f>
        <v>5</v>
      </c>
      <c r="W222" s="122">
        <f>IF(V222&lt;=$U$45,1,V222/$U$45)</f>
        <v>1</v>
      </c>
      <c r="X222" s="119"/>
      <c r="Y222" s="121" t="s">
        <v>85</v>
      </c>
      <c r="Z222" s="121">
        <f>COUNTA(Z191:Z221)</f>
        <v>10</v>
      </c>
      <c r="AA222" s="122">
        <f>IF(Z222&lt;=$U$45,1,Z222/$U$45)</f>
        <v>1</v>
      </c>
      <c r="AC222" s="80">
        <v>44361</v>
      </c>
      <c r="AD222" s="120">
        <v>1</v>
      </c>
      <c r="AE222" s="80"/>
      <c r="AG222" s="117">
        <v>44359</v>
      </c>
      <c r="AH222" s="37"/>
      <c r="AI222" s="80"/>
      <c r="AK222" s="119">
        <v>44357</v>
      </c>
      <c r="AL222" s="79">
        <v>1</v>
      </c>
      <c r="AM222" s="149"/>
      <c r="AO222" s="152">
        <v>44367</v>
      </c>
      <c r="AP222" s="37"/>
      <c r="AQ222" s="118"/>
      <c r="AS222" s="152">
        <v>44367</v>
      </c>
      <c r="AT222" s="37"/>
      <c r="AU222" s="118"/>
      <c r="AW222" s="152">
        <v>44367</v>
      </c>
      <c r="AX222" s="37"/>
      <c r="AY222" s="118"/>
      <c r="BA222" s="152">
        <v>44367</v>
      </c>
      <c r="BB222" s="37"/>
      <c r="BC222" s="118"/>
      <c r="BE222" s="152">
        <v>44367</v>
      </c>
      <c r="BF222" s="37"/>
      <c r="BG222" s="118"/>
      <c r="BI222" s="152">
        <v>44367</v>
      </c>
      <c r="BJ222" s="37"/>
      <c r="BK222" s="118"/>
      <c r="BM222" s="152">
        <v>44367</v>
      </c>
      <c r="BN222" s="37"/>
      <c r="BO222" s="118"/>
      <c r="BQ222" s="152">
        <v>44367</v>
      </c>
      <c r="BR222" s="37"/>
      <c r="BS222" s="118"/>
      <c r="BU222" s="152">
        <v>44367</v>
      </c>
      <c r="BV222" s="37"/>
      <c r="BW222" s="118"/>
      <c r="BY222" s="152">
        <v>44367</v>
      </c>
      <c r="BZ222" s="37"/>
      <c r="CA222" s="118"/>
    </row>
    <row r="223" spans="1:79">
      <c r="A223" s="133">
        <v>44364</v>
      </c>
      <c r="E223" s="80">
        <v>44362</v>
      </c>
      <c r="F223" s="120">
        <v>6</v>
      </c>
      <c r="G223" s="80"/>
      <c r="I223" s="119">
        <v>44358</v>
      </c>
      <c r="K223" s="80"/>
      <c r="N223" s="118">
        <v>44355</v>
      </c>
      <c r="O223" s="79">
        <v>5</v>
      </c>
      <c r="P223" s="79">
        <v>2</v>
      </c>
      <c r="R223" s="120">
        <v>2</v>
      </c>
      <c r="S223" s="125"/>
      <c r="U223" s="156">
        <v>44364</v>
      </c>
      <c r="Y223" s="119">
        <v>44364</v>
      </c>
      <c r="AC223" s="80">
        <v>44362</v>
      </c>
      <c r="AD223" s="120">
        <v>2</v>
      </c>
      <c r="AE223" s="80"/>
      <c r="AG223" s="117">
        <v>44360</v>
      </c>
      <c r="AH223" s="37"/>
      <c r="AI223" s="80"/>
      <c r="AK223" s="119">
        <v>44358</v>
      </c>
      <c r="AL223" s="79">
        <v>2</v>
      </c>
      <c r="AM223" s="148"/>
      <c r="AO223" s="154">
        <v>44368</v>
      </c>
      <c r="AP223" s="79">
        <v>25</v>
      </c>
      <c r="AQ223" s="118"/>
      <c r="AR223" s="119"/>
      <c r="AS223" s="154">
        <v>44368</v>
      </c>
      <c r="AT223" s="79">
        <v>49</v>
      </c>
      <c r="AU223" s="118"/>
      <c r="AW223" s="154">
        <v>44368</v>
      </c>
      <c r="AX223" s="79">
        <v>73</v>
      </c>
      <c r="AY223" s="118"/>
      <c r="BA223" s="154">
        <v>44368</v>
      </c>
      <c r="BB223" s="79">
        <v>97</v>
      </c>
      <c r="BC223" s="118"/>
      <c r="BE223" s="154">
        <v>44368</v>
      </c>
      <c r="BF223" s="79">
        <v>118</v>
      </c>
      <c r="BG223" s="118"/>
      <c r="BI223" s="154">
        <v>44368</v>
      </c>
      <c r="BJ223" s="79">
        <v>25</v>
      </c>
      <c r="BK223" s="118"/>
      <c r="BL223" s="119"/>
      <c r="BM223" s="154">
        <v>44368</v>
      </c>
      <c r="BN223" s="79">
        <v>49</v>
      </c>
      <c r="BO223" s="118"/>
      <c r="BQ223" s="154">
        <v>44368</v>
      </c>
      <c r="BR223" s="79">
        <v>73</v>
      </c>
      <c r="BS223" s="118"/>
      <c r="BU223" s="154">
        <v>44368</v>
      </c>
      <c r="BV223" s="79">
        <v>97</v>
      </c>
      <c r="BW223" s="118"/>
      <c r="BY223" s="154">
        <v>44368</v>
      </c>
      <c r="BZ223" s="79">
        <v>118</v>
      </c>
      <c r="CA223" s="118"/>
    </row>
    <row r="224" spans="1:79">
      <c r="A224" s="133">
        <v>44365</v>
      </c>
      <c r="E224" s="121" t="s">
        <v>85</v>
      </c>
      <c r="F224" s="121">
        <f>COUNTA(F208:F223)</f>
        <v>6</v>
      </c>
      <c r="G224" s="122">
        <f>IF(F224&lt;=$A$45,1,F224/$A$45)</f>
        <v>1</v>
      </c>
      <c r="I224" s="117">
        <v>44359</v>
      </c>
      <c r="J224" s="37"/>
      <c r="K224" s="80"/>
      <c r="N224" s="118">
        <v>44356</v>
      </c>
      <c r="O224" s="79">
        <v>6</v>
      </c>
      <c r="P224" s="79">
        <v>3</v>
      </c>
      <c r="R224" s="120">
        <v>3</v>
      </c>
      <c r="S224" s="125"/>
      <c r="U224" s="156">
        <v>44365</v>
      </c>
      <c r="Y224" s="119">
        <v>44365</v>
      </c>
      <c r="AC224" s="80">
        <v>44363</v>
      </c>
      <c r="AD224" s="120">
        <v>3</v>
      </c>
      <c r="AE224" s="80"/>
      <c r="AG224" s="80">
        <v>44361</v>
      </c>
      <c r="AH224" s="120">
        <v>2</v>
      </c>
      <c r="AI224" s="80"/>
      <c r="AK224" s="117">
        <v>44359</v>
      </c>
      <c r="AL224" s="37"/>
      <c r="AM224" s="148"/>
      <c r="AO224" s="156">
        <v>44369</v>
      </c>
      <c r="AQ224" s="118"/>
      <c r="AS224" s="156">
        <v>44369</v>
      </c>
      <c r="AT224">
        <v>50</v>
      </c>
      <c r="AU224" s="118"/>
      <c r="AW224" s="156">
        <v>44369</v>
      </c>
      <c r="AX224">
        <v>74</v>
      </c>
      <c r="AY224" s="118"/>
      <c r="BA224" s="156">
        <v>44369</v>
      </c>
      <c r="BB224" s="79">
        <v>98</v>
      </c>
      <c r="BC224" s="118"/>
      <c r="BE224" s="156">
        <v>44369</v>
      </c>
      <c r="BF224" s="79">
        <v>119</v>
      </c>
      <c r="BG224" s="118"/>
      <c r="BI224" s="156">
        <v>44369</v>
      </c>
      <c r="BK224" s="118"/>
      <c r="BM224" s="156">
        <v>44369</v>
      </c>
      <c r="BN224">
        <v>50</v>
      </c>
      <c r="BO224" s="118"/>
      <c r="BQ224" s="156">
        <v>44369</v>
      </c>
      <c r="BR224">
        <v>74</v>
      </c>
      <c r="BS224" s="118"/>
      <c r="BU224" s="156">
        <v>44369</v>
      </c>
      <c r="BV224" s="79">
        <v>98</v>
      </c>
      <c r="BW224" s="118"/>
      <c r="BY224" s="156">
        <v>44369</v>
      </c>
      <c r="BZ224" s="79">
        <v>119</v>
      </c>
      <c r="CA224" s="118"/>
    </row>
    <row r="225" spans="1:79">
      <c r="A225" s="129">
        <v>44366</v>
      </c>
      <c r="B225" s="37"/>
      <c r="C225" s="37"/>
      <c r="E225" s="119">
        <v>44363</v>
      </c>
      <c r="I225" s="117">
        <v>44360</v>
      </c>
      <c r="J225" s="37"/>
      <c r="K225" s="80"/>
      <c r="L225" s="37"/>
      <c r="M225" s="37"/>
      <c r="N225" s="121" t="s">
        <v>85</v>
      </c>
      <c r="O225" s="121">
        <f>COUNTA(O216:O224)</f>
        <v>6</v>
      </c>
      <c r="P225" s="122">
        <f>IF(O225&lt;=$A$45,1,O225/$A$45)</f>
        <v>1</v>
      </c>
      <c r="R225" s="37"/>
      <c r="S225" s="130"/>
      <c r="U225" s="152">
        <v>44366</v>
      </c>
      <c r="V225" s="37"/>
      <c r="Y225" s="117">
        <v>44366</v>
      </c>
      <c r="Z225" s="37"/>
      <c r="AA225" s="37"/>
      <c r="AC225" s="119">
        <v>44364</v>
      </c>
      <c r="AE225" s="80"/>
      <c r="AG225" s="80">
        <v>44362</v>
      </c>
      <c r="AH225" s="120">
        <v>3</v>
      </c>
      <c r="AI225" s="80"/>
      <c r="AK225" s="117">
        <v>44360</v>
      </c>
      <c r="AL225" s="37"/>
      <c r="AM225" s="148"/>
      <c r="AO225" s="156">
        <v>44370</v>
      </c>
      <c r="AQ225" s="118"/>
      <c r="AS225" s="156">
        <v>44370</v>
      </c>
      <c r="AU225" s="118"/>
      <c r="AW225" s="156">
        <v>44370</v>
      </c>
      <c r="AX225">
        <v>75</v>
      </c>
      <c r="AY225" s="118"/>
      <c r="BA225" s="156">
        <v>44370</v>
      </c>
      <c r="BB225" s="79">
        <v>99</v>
      </c>
      <c r="BC225" s="118"/>
      <c r="BE225" s="156">
        <v>44370</v>
      </c>
      <c r="BF225" s="79">
        <v>120</v>
      </c>
      <c r="BG225" s="118"/>
      <c r="BI225" s="156">
        <v>44370</v>
      </c>
      <c r="BK225" s="118"/>
      <c r="BM225" s="156">
        <v>44370</v>
      </c>
      <c r="BO225" s="118"/>
      <c r="BQ225" s="156">
        <v>44370</v>
      </c>
      <c r="BR225">
        <v>75</v>
      </c>
      <c r="BS225" s="118"/>
      <c r="BU225" s="156">
        <v>44370</v>
      </c>
      <c r="BV225" s="79">
        <v>99</v>
      </c>
      <c r="BW225" s="118"/>
      <c r="BY225" s="156">
        <v>44370</v>
      </c>
      <c r="BZ225" s="79">
        <v>120</v>
      </c>
      <c r="CA225" s="118"/>
    </row>
    <row r="226" spans="1:79">
      <c r="A226" s="129">
        <v>44367</v>
      </c>
      <c r="B226" s="37"/>
      <c r="C226" s="37"/>
      <c r="E226" s="119">
        <v>44364</v>
      </c>
      <c r="I226" s="80">
        <v>44361</v>
      </c>
      <c r="J226" s="120">
        <v>4</v>
      </c>
      <c r="K226" s="80"/>
      <c r="L226" s="37"/>
      <c r="M226" s="37"/>
      <c r="N226" s="80">
        <v>44357</v>
      </c>
      <c r="O226" s="120">
        <v>1</v>
      </c>
      <c r="P226" s="120">
        <v>4</v>
      </c>
      <c r="R226" s="37"/>
      <c r="S226" s="130"/>
      <c r="U226" s="152">
        <v>44367</v>
      </c>
      <c r="V226" s="37"/>
      <c r="Y226" s="117">
        <v>44367</v>
      </c>
      <c r="Z226" s="37"/>
      <c r="AA226" s="37"/>
      <c r="AC226" s="119">
        <v>44365</v>
      </c>
      <c r="AE226" s="80"/>
      <c r="AG226" s="80">
        <v>44363</v>
      </c>
      <c r="AH226" s="120">
        <v>4</v>
      </c>
      <c r="AI226" s="80"/>
      <c r="AK226" s="118">
        <v>44361</v>
      </c>
      <c r="AL226" s="146">
        <v>3</v>
      </c>
      <c r="AM226" s="162"/>
      <c r="AO226" s="156">
        <v>44371</v>
      </c>
      <c r="AQ226" s="118"/>
      <c r="AS226" s="156">
        <v>44371</v>
      </c>
      <c r="AU226" s="118"/>
      <c r="AW226" s="156">
        <v>44371</v>
      </c>
      <c r="AY226" s="118"/>
      <c r="BA226" s="156">
        <v>44371</v>
      </c>
      <c r="BB226" s="79">
        <v>100</v>
      </c>
      <c r="BC226" s="118"/>
      <c r="BE226" s="156">
        <v>44371</v>
      </c>
      <c r="BF226" s="79">
        <v>121</v>
      </c>
      <c r="BG226" s="118"/>
      <c r="BI226" s="156">
        <v>44371</v>
      </c>
      <c r="BK226" s="118"/>
      <c r="BM226" s="156">
        <v>44371</v>
      </c>
      <c r="BO226" s="118"/>
      <c r="BQ226" s="156">
        <v>44371</v>
      </c>
      <c r="BS226" s="118"/>
      <c r="BU226" s="156">
        <v>44371</v>
      </c>
      <c r="BV226" s="79">
        <v>100</v>
      </c>
      <c r="BW226" s="118"/>
      <c r="BY226" s="156">
        <v>44371</v>
      </c>
      <c r="BZ226" s="79">
        <v>121</v>
      </c>
      <c r="CA226" s="118"/>
    </row>
    <row r="227" spans="1:79">
      <c r="A227" s="138">
        <v>44368</v>
      </c>
      <c r="B227" s="120">
        <v>1</v>
      </c>
      <c r="C227" s="80">
        <f>EDATE($A227,1)-1</f>
        <v>44397</v>
      </c>
      <c r="D227" s="119"/>
      <c r="E227" s="119">
        <v>44365</v>
      </c>
      <c r="H227" s="119"/>
      <c r="I227" s="80">
        <v>44362</v>
      </c>
      <c r="J227" s="120">
        <v>5</v>
      </c>
      <c r="K227" s="80"/>
      <c r="L227" s="119"/>
      <c r="M227" s="119"/>
      <c r="N227" s="119">
        <v>44358</v>
      </c>
      <c r="Q227" s="119"/>
      <c r="R227" s="120">
        <v>4</v>
      </c>
      <c r="S227" s="125"/>
      <c r="U227" s="161">
        <v>44368</v>
      </c>
      <c r="V227" s="120">
        <v>3</v>
      </c>
      <c r="W227" s="80">
        <f>EDATE($U227,1)-$W$49</f>
        <v>44397</v>
      </c>
      <c r="X227" s="119"/>
      <c r="Y227" s="80">
        <v>44368</v>
      </c>
      <c r="Z227" s="120">
        <v>1</v>
      </c>
      <c r="AA227" s="80">
        <f>EDATE(Y227,1)-1</f>
        <v>44397</v>
      </c>
      <c r="AC227" s="117">
        <v>44366</v>
      </c>
      <c r="AD227" s="37"/>
      <c r="AE227" s="80"/>
      <c r="AG227" s="80">
        <v>44364</v>
      </c>
      <c r="AH227" s="120">
        <v>5</v>
      </c>
      <c r="AI227" s="80"/>
      <c r="AK227" s="119">
        <v>44362</v>
      </c>
      <c r="AL227" s="146">
        <v>4</v>
      </c>
      <c r="AM227" s="162"/>
      <c r="AO227" s="156">
        <v>44372</v>
      </c>
      <c r="AQ227" s="118"/>
      <c r="AS227" s="156">
        <v>44372</v>
      </c>
      <c r="AU227" s="118"/>
      <c r="AW227" s="156">
        <v>44372</v>
      </c>
      <c r="AY227" s="118"/>
      <c r="BA227" s="156">
        <v>44372</v>
      </c>
      <c r="BC227" s="118"/>
      <c r="BE227" s="156">
        <v>44372</v>
      </c>
      <c r="BF227" s="79">
        <v>122</v>
      </c>
      <c r="BG227" s="118"/>
      <c r="BI227" s="156">
        <v>44372</v>
      </c>
      <c r="BK227" s="118"/>
      <c r="BM227" s="156">
        <v>44372</v>
      </c>
      <c r="BO227" s="118"/>
      <c r="BQ227" s="156">
        <v>44372</v>
      </c>
      <c r="BS227" s="118"/>
      <c r="BU227" s="156">
        <v>44372</v>
      </c>
      <c r="BW227" s="118"/>
      <c r="BY227" s="156">
        <v>44372</v>
      </c>
      <c r="BZ227" s="79">
        <v>122</v>
      </c>
      <c r="CA227" s="118"/>
    </row>
    <row r="228" spans="1:79">
      <c r="A228" s="133">
        <v>44369</v>
      </c>
      <c r="C228" s="120"/>
      <c r="E228" s="117">
        <v>44366</v>
      </c>
      <c r="F228" s="37"/>
      <c r="G228" s="37"/>
      <c r="I228" s="80">
        <v>44363</v>
      </c>
      <c r="J228" s="120">
        <v>6</v>
      </c>
      <c r="K228" s="80"/>
      <c r="N228" s="117">
        <v>44359</v>
      </c>
      <c r="O228" s="37"/>
      <c r="P228" s="37"/>
      <c r="R228" s="120">
        <v>5</v>
      </c>
      <c r="S228" s="125"/>
      <c r="U228" s="156">
        <v>44369</v>
      </c>
      <c r="W228" s="80"/>
      <c r="Y228" s="80">
        <v>44369</v>
      </c>
      <c r="Z228" s="120">
        <v>2</v>
      </c>
      <c r="AA228" s="80"/>
      <c r="AC228" s="117">
        <v>44367</v>
      </c>
      <c r="AD228" s="37"/>
      <c r="AE228" s="80"/>
      <c r="AG228" s="119">
        <v>44365</v>
      </c>
      <c r="AI228" s="80"/>
      <c r="AK228" s="119">
        <v>44363</v>
      </c>
      <c r="AL228" s="146">
        <v>5</v>
      </c>
      <c r="AM228" s="162"/>
      <c r="AO228" s="152">
        <v>44373</v>
      </c>
      <c r="AP228" s="37"/>
      <c r="AQ228" s="118"/>
      <c r="AR228" s="119"/>
      <c r="AS228" s="152">
        <v>44373</v>
      </c>
      <c r="AT228" s="37"/>
      <c r="AU228" s="118"/>
      <c r="AW228" s="152">
        <v>44373</v>
      </c>
      <c r="AX228" s="37"/>
      <c r="AY228" s="118"/>
      <c r="BA228" s="152">
        <v>44373</v>
      </c>
      <c r="BB228" s="37"/>
      <c r="BC228" s="118"/>
      <c r="BE228" s="152">
        <v>44373</v>
      </c>
      <c r="BF228" s="37"/>
      <c r="BG228" s="118"/>
      <c r="BI228" s="152">
        <v>44373</v>
      </c>
      <c r="BJ228" s="37"/>
      <c r="BK228" s="118"/>
      <c r="BL228" s="119"/>
      <c r="BM228" s="152">
        <v>44373</v>
      </c>
      <c r="BN228" s="37"/>
      <c r="BO228" s="118"/>
      <c r="BQ228" s="152">
        <v>44373</v>
      </c>
      <c r="BR228" s="37"/>
      <c r="BS228" s="118"/>
      <c r="BU228" s="152">
        <v>44373</v>
      </c>
      <c r="BV228" s="37"/>
      <c r="BW228" s="118"/>
      <c r="BY228" s="152">
        <v>44373</v>
      </c>
      <c r="BZ228" s="37"/>
      <c r="CA228" s="118"/>
    </row>
    <row r="229" spans="1:79">
      <c r="A229" s="133">
        <v>44370</v>
      </c>
      <c r="C229" s="120"/>
      <c r="E229" s="117">
        <v>44367</v>
      </c>
      <c r="F229" s="37"/>
      <c r="G229" s="37"/>
      <c r="I229" s="121" t="s">
        <v>85</v>
      </c>
      <c r="J229" s="121">
        <f>COUNTA(J219:J228)</f>
        <v>6</v>
      </c>
      <c r="K229" s="122">
        <f>IF(J229&lt;=$A$45,1,J229/$A$45)</f>
        <v>1</v>
      </c>
      <c r="N229" s="117">
        <v>44360</v>
      </c>
      <c r="O229" s="37"/>
      <c r="P229" s="37"/>
      <c r="R229" s="120">
        <v>6</v>
      </c>
      <c r="S229" s="125"/>
      <c r="U229" s="156">
        <v>44370</v>
      </c>
      <c r="W229" s="80"/>
      <c r="Y229" s="119">
        <v>44370</v>
      </c>
      <c r="AA229" s="80"/>
      <c r="AC229" s="80">
        <v>44368</v>
      </c>
      <c r="AD229" s="120">
        <v>4</v>
      </c>
      <c r="AE229" s="80"/>
      <c r="AG229" s="117">
        <v>44366</v>
      </c>
      <c r="AH229" s="37"/>
      <c r="AI229" s="80"/>
      <c r="AK229" s="119">
        <v>44364</v>
      </c>
      <c r="AL229" s="146">
        <v>6</v>
      </c>
      <c r="AM229" s="162"/>
      <c r="AO229" s="152">
        <v>44374</v>
      </c>
      <c r="AP229" s="37"/>
      <c r="AQ229" s="118"/>
      <c r="AS229" s="152">
        <v>44374</v>
      </c>
      <c r="AT229" s="37"/>
      <c r="AU229" s="118"/>
      <c r="AW229" s="152">
        <v>44374</v>
      </c>
      <c r="AX229" s="37"/>
      <c r="AY229" s="118"/>
      <c r="BA229" s="152">
        <v>44374</v>
      </c>
      <c r="BB229" s="37"/>
      <c r="BC229" s="118"/>
      <c r="BE229" s="152">
        <v>44374</v>
      </c>
      <c r="BF229" s="37"/>
      <c r="BG229" s="118"/>
      <c r="BI229" s="152">
        <v>44374</v>
      </c>
      <c r="BJ229" s="37"/>
      <c r="BK229" s="118"/>
      <c r="BM229" s="152">
        <v>44374</v>
      </c>
      <c r="BN229" s="37"/>
      <c r="BO229" s="118"/>
      <c r="BQ229" s="152">
        <v>44374</v>
      </c>
      <c r="BR229" s="37"/>
      <c r="BS229" s="118"/>
      <c r="BU229" s="152">
        <v>44374</v>
      </c>
      <c r="BV229" s="37"/>
      <c r="BW229" s="118"/>
      <c r="BY229" s="152">
        <v>44374</v>
      </c>
      <c r="BZ229" s="37"/>
      <c r="CA229" s="118"/>
    </row>
    <row r="230" spans="1:79">
      <c r="A230" s="133">
        <v>44371</v>
      </c>
      <c r="C230" s="80"/>
      <c r="D230" s="119"/>
      <c r="E230" s="118">
        <v>44368</v>
      </c>
      <c r="F230" s="79">
        <v>1</v>
      </c>
      <c r="G230" s="118"/>
      <c r="H230" s="119"/>
      <c r="I230" s="119">
        <v>44364</v>
      </c>
      <c r="L230" s="119"/>
      <c r="M230" s="119"/>
      <c r="N230" s="80">
        <v>44361</v>
      </c>
      <c r="O230" s="120">
        <v>2</v>
      </c>
      <c r="P230" s="120">
        <v>1</v>
      </c>
      <c r="Q230" s="119"/>
      <c r="R230" s="79">
        <v>1</v>
      </c>
      <c r="S230" s="132"/>
      <c r="U230" s="156">
        <v>44371</v>
      </c>
      <c r="W230" s="80"/>
      <c r="X230" s="119"/>
      <c r="Y230" s="119">
        <v>44371</v>
      </c>
      <c r="AA230" s="80"/>
      <c r="AC230" s="80">
        <v>44369</v>
      </c>
      <c r="AD230" s="120">
        <v>5</v>
      </c>
      <c r="AE230" s="80"/>
      <c r="AG230" s="117">
        <v>44367</v>
      </c>
      <c r="AH230" s="37"/>
      <c r="AI230" s="80"/>
      <c r="AK230" s="119">
        <v>44365</v>
      </c>
      <c r="AL230" s="146">
        <v>7</v>
      </c>
      <c r="AM230" s="162"/>
      <c r="AO230" s="154">
        <v>44375</v>
      </c>
      <c r="AP230" s="79">
        <v>26</v>
      </c>
      <c r="AQ230" s="118"/>
      <c r="AS230" s="154">
        <v>44375</v>
      </c>
      <c r="AT230" s="79">
        <v>51</v>
      </c>
      <c r="AU230" s="118"/>
      <c r="AW230" s="154">
        <v>44375</v>
      </c>
      <c r="AX230" s="79">
        <v>76</v>
      </c>
      <c r="AY230" s="118"/>
      <c r="BA230" s="154">
        <v>44375</v>
      </c>
      <c r="BB230" s="79">
        <v>101</v>
      </c>
      <c r="BC230" s="118"/>
      <c r="BE230" s="154">
        <v>44375</v>
      </c>
      <c r="BF230" s="79">
        <v>123</v>
      </c>
      <c r="BG230" s="118"/>
      <c r="BI230" s="154">
        <v>44375</v>
      </c>
      <c r="BJ230" s="79">
        <v>26</v>
      </c>
      <c r="BK230" s="118"/>
      <c r="BM230" s="154">
        <v>44375</v>
      </c>
      <c r="BN230" s="79">
        <v>51</v>
      </c>
      <c r="BO230" s="118"/>
      <c r="BQ230" s="154">
        <v>44375</v>
      </c>
      <c r="BR230" s="79">
        <v>76</v>
      </c>
      <c r="BS230" s="118"/>
      <c r="BU230" s="154">
        <v>44375</v>
      </c>
      <c r="BV230" s="79">
        <v>101</v>
      </c>
      <c r="BW230" s="118"/>
      <c r="BY230" s="154">
        <v>44375</v>
      </c>
      <c r="BZ230" s="79">
        <v>123</v>
      </c>
      <c r="CA230" s="118"/>
    </row>
    <row r="231" spans="1:79">
      <c r="A231" s="133">
        <v>44372</v>
      </c>
      <c r="C231" s="120"/>
      <c r="E231" s="118">
        <v>44369</v>
      </c>
      <c r="F231" s="79">
        <v>2</v>
      </c>
      <c r="G231" s="118"/>
      <c r="I231" s="119">
        <v>44365</v>
      </c>
      <c r="N231" s="80">
        <v>44362</v>
      </c>
      <c r="O231" s="120">
        <v>3</v>
      </c>
      <c r="P231" s="120">
        <v>2</v>
      </c>
      <c r="R231" s="79">
        <v>2</v>
      </c>
      <c r="S231" s="134"/>
      <c r="U231" s="156">
        <v>44372</v>
      </c>
      <c r="W231" s="80"/>
      <c r="Y231" s="119">
        <v>44372</v>
      </c>
      <c r="AA231" s="80"/>
      <c r="AC231" s="80">
        <v>44370</v>
      </c>
      <c r="AD231" s="120">
        <v>6</v>
      </c>
      <c r="AE231" s="80"/>
      <c r="AG231" s="80">
        <v>44368</v>
      </c>
      <c r="AH231" s="120">
        <v>6</v>
      </c>
      <c r="AI231" s="80"/>
      <c r="AK231" s="117">
        <v>44366</v>
      </c>
      <c r="AL231" s="37"/>
      <c r="AM231" s="162"/>
      <c r="AO231" s="156">
        <v>44376</v>
      </c>
      <c r="AQ231" s="118"/>
      <c r="AR231" s="119"/>
      <c r="AS231" s="156">
        <v>44376</v>
      </c>
      <c r="AT231">
        <v>52</v>
      </c>
      <c r="AU231" s="118"/>
      <c r="AW231" s="156">
        <v>44376</v>
      </c>
      <c r="AX231">
        <v>77</v>
      </c>
      <c r="AY231" s="118"/>
      <c r="BA231" s="156">
        <v>44376</v>
      </c>
      <c r="BB231" s="79">
        <v>102</v>
      </c>
      <c r="BC231" s="118"/>
      <c r="BE231" s="156">
        <v>44376</v>
      </c>
      <c r="BF231" s="79">
        <v>124</v>
      </c>
      <c r="BG231" s="118"/>
      <c r="BI231" s="156">
        <v>44376</v>
      </c>
      <c r="BK231" s="118"/>
      <c r="BL231" s="119"/>
      <c r="BM231" s="156">
        <v>44376</v>
      </c>
      <c r="BN231">
        <v>52</v>
      </c>
      <c r="BO231" s="118"/>
      <c r="BQ231" s="156">
        <v>44376</v>
      </c>
      <c r="BR231">
        <v>77</v>
      </c>
      <c r="BS231" s="118"/>
      <c r="BU231" s="156">
        <v>44376</v>
      </c>
      <c r="BV231" s="79">
        <v>102</v>
      </c>
      <c r="BW231" s="118"/>
      <c r="BY231" s="156">
        <v>44376</v>
      </c>
      <c r="BZ231" s="79">
        <v>124</v>
      </c>
      <c r="CA231" s="118"/>
    </row>
    <row r="232" spans="1:79">
      <c r="A232" s="129">
        <v>44373</v>
      </c>
      <c r="B232" s="37"/>
      <c r="C232" s="120"/>
      <c r="E232" s="119">
        <v>44370</v>
      </c>
      <c r="G232" s="118"/>
      <c r="I232" s="117">
        <v>44366</v>
      </c>
      <c r="J232" s="37"/>
      <c r="K232" s="37"/>
      <c r="L232" s="37"/>
      <c r="M232" s="37"/>
      <c r="N232" s="80">
        <v>44363</v>
      </c>
      <c r="O232" s="120">
        <v>4</v>
      </c>
      <c r="P232" s="120">
        <v>3</v>
      </c>
      <c r="R232" s="37"/>
      <c r="S232" s="130"/>
      <c r="U232" s="152">
        <v>44373</v>
      </c>
      <c r="V232" s="37"/>
      <c r="W232" s="80"/>
      <c r="Y232" s="117">
        <v>44373</v>
      </c>
      <c r="Z232" s="37"/>
      <c r="AA232" s="80"/>
      <c r="AC232" s="119">
        <v>44371</v>
      </c>
      <c r="AE232" s="80"/>
      <c r="AG232" s="80">
        <v>44369</v>
      </c>
      <c r="AH232" s="120">
        <v>7</v>
      </c>
      <c r="AI232" s="80"/>
      <c r="AK232" s="117">
        <v>44367</v>
      </c>
      <c r="AL232" s="37"/>
      <c r="AM232" s="162"/>
      <c r="AO232" s="156">
        <v>44377</v>
      </c>
      <c r="AQ232" s="118"/>
      <c r="AS232" s="156">
        <v>44377</v>
      </c>
      <c r="AU232" s="118"/>
      <c r="AW232" s="156">
        <v>44377</v>
      </c>
      <c r="AX232">
        <v>78</v>
      </c>
      <c r="AY232" s="118"/>
      <c r="BA232" s="156">
        <v>44377</v>
      </c>
      <c r="BB232" s="79">
        <v>103</v>
      </c>
      <c r="BC232" s="118"/>
      <c r="BE232" s="156">
        <v>44377</v>
      </c>
      <c r="BF232" s="79">
        <v>125</v>
      </c>
      <c r="BG232" s="118"/>
      <c r="BI232" s="156">
        <v>44377</v>
      </c>
      <c r="BK232" s="118"/>
      <c r="BM232" s="156">
        <v>44377</v>
      </c>
      <c r="BO232" s="118"/>
      <c r="BQ232" s="156">
        <v>44377</v>
      </c>
      <c r="BR232">
        <v>78</v>
      </c>
      <c r="BS232" s="118"/>
      <c r="BU232" s="156">
        <v>44377</v>
      </c>
      <c r="BV232" s="79">
        <v>103</v>
      </c>
      <c r="BW232" s="118"/>
      <c r="BY232" s="156">
        <v>44377</v>
      </c>
      <c r="BZ232" s="79">
        <v>125</v>
      </c>
      <c r="CA232" s="118"/>
    </row>
    <row r="233" spans="1:79">
      <c r="A233" s="129">
        <v>44374</v>
      </c>
      <c r="B233" s="37"/>
      <c r="C233" s="120"/>
      <c r="E233" s="119">
        <v>44371</v>
      </c>
      <c r="G233" s="118"/>
      <c r="I233" s="117">
        <v>44367</v>
      </c>
      <c r="J233" s="37"/>
      <c r="K233" s="37"/>
      <c r="L233" s="37"/>
      <c r="M233" s="37"/>
      <c r="N233" s="80">
        <v>44364</v>
      </c>
      <c r="O233" s="120">
        <v>5</v>
      </c>
      <c r="P233" s="120">
        <v>4</v>
      </c>
      <c r="R233" s="37"/>
      <c r="S233" s="130"/>
      <c r="U233" s="152">
        <v>44374</v>
      </c>
      <c r="V233" s="37"/>
      <c r="W233" s="80"/>
      <c r="Y233" s="117">
        <v>44374</v>
      </c>
      <c r="Z233" s="37"/>
      <c r="AA233" s="80"/>
      <c r="AC233" s="119">
        <v>44372</v>
      </c>
      <c r="AE233" s="80"/>
      <c r="AG233" s="80">
        <v>44370</v>
      </c>
      <c r="AH233" s="120">
        <v>8</v>
      </c>
      <c r="AI233" s="80"/>
      <c r="AK233" s="118">
        <v>44368</v>
      </c>
      <c r="AL233" s="120">
        <v>8</v>
      </c>
      <c r="AM233" s="162"/>
      <c r="AO233" s="156">
        <v>44378</v>
      </c>
      <c r="AQ233" s="118"/>
      <c r="AS233" s="156">
        <v>44378</v>
      </c>
      <c r="AU233" s="118"/>
      <c r="AW233" s="156">
        <v>44378</v>
      </c>
      <c r="AY233" s="118"/>
      <c r="BA233" s="156">
        <v>44378</v>
      </c>
      <c r="BB233" s="79">
        <v>104</v>
      </c>
      <c r="BC233" s="118"/>
      <c r="BE233" s="156">
        <v>44378</v>
      </c>
      <c r="BF233" s="79">
        <v>126</v>
      </c>
      <c r="BG233" s="118"/>
      <c r="BI233" s="156">
        <v>44378</v>
      </c>
      <c r="BK233" s="118"/>
      <c r="BM233" s="156">
        <v>44378</v>
      </c>
      <c r="BO233" s="118"/>
      <c r="BQ233" s="156">
        <v>44378</v>
      </c>
      <c r="BS233" s="118"/>
      <c r="BU233" s="156">
        <v>44378</v>
      </c>
      <c r="BV233" s="79">
        <v>104</v>
      </c>
      <c r="BW233" s="118"/>
      <c r="BY233" s="156">
        <v>44378</v>
      </c>
      <c r="BZ233" s="79">
        <v>126</v>
      </c>
      <c r="CA233" s="118"/>
    </row>
    <row r="234" spans="1:79">
      <c r="A234" s="138">
        <v>44375</v>
      </c>
      <c r="B234" s="120">
        <v>2</v>
      </c>
      <c r="C234" s="120"/>
      <c r="E234" s="119">
        <v>44372</v>
      </c>
      <c r="G234" s="118"/>
      <c r="I234" s="118">
        <v>44368</v>
      </c>
      <c r="J234" s="79">
        <v>1</v>
      </c>
      <c r="K234" s="118"/>
      <c r="N234" s="119">
        <v>44365</v>
      </c>
      <c r="R234" s="79">
        <v>3</v>
      </c>
      <c r="S234" s="134"/>
      <c r="U234" s="161">
        <v>44375</v>
      </c>
      <c r="V234" s="120">
        <v>2</v>
      </c>
      <c r="W234" s="80"/>
      <c r="Y234" s="80">
        <v>44375</v>
      </c>
      <c r="Z234" s="120">
        <v>3</v>
      </c>
      <c r="AA234" s="80"/>
      <c r="AC234" s="117">
        <v>44373</v>
      </c>
      <c r="AD234" s="37"/>
      <c r="AE234" s="80"/>
      <c r="AG234" s="80">
        <v>44371</v>
      </c>
      <c r="AH234" s="120">
        <v>9</v>
      </c>
      <c r="AI234" s="80"/>
      <c r="AK234" s="119">
        <v>44369</v>
      </c>
      <c r="AL234" s="120">
        <v>9</v>
      </c>
      <c r="AM234" s="162"/>
      <c r="AO234" s="156">
        <v>44379</v>
      </c>
      <c r="AQ234" s="118"/>
      <c r="AS234" s="156">
        <v>44379</v>
      </c>
      <c r="AU234" s="118"/>
      <c r="AW234" s="156">
        <v>44379</v>
      </c>
      <c r="AY234" s="118"/>
      <c r="BA234" s="156">
        <v>44379</v>
      </c>
      <c r="BC234" s="118"/>
      <c r="BE234" s="156">
        <v>44379</v>
      </c>
      <c r="BF234" s="79">
        <v>127</v>
      </c>
      <c r="BG234" s="118"/>
      <c r="BI234" s="156">
        <v>44379</v>
      </c>
      <c r="BK234" s="118"/>
      <c r="BM234" s="156">
        <v>44379</v>
      </c>
      <c r="BO234" s="118"/>
      <c r="BQ234" s="156">
        <v>44379</v>
      </c>
      <c r="BS234" s="118"/>
      <c r="BU234" s="156">
        <v>44379</v>
      </c>
      <c r="BW234" s="118"/>
      <c r="BY234" s="156">
        <v>44379</v>
      </c>
      <c r="BZ234" s="79">
        <v>127</v>
      </c>
      <c r="CA234" s="118"/>
    </row>
    <row r="235" spans="1:79">
      <c r="A235" s="133">
        <v>44376</v>
      </c>
      <c r="C235" s="120"/>
      <c r="E235" s="117">
        <v>44373</v>
      </c>
      <c r="F235" s="37"/>
      <c r="G235" s="118"/>
      <c r="I235" s="118">
        <v>44369</v>
      </c>
      <c r="J235" s="79">
        <v>2</v>
      </c>
      <c r="K235" s="79"/>
      <c r="N235" s="117">
        <v>44366</v>
      </c>
      <c r="O235" s="37"/>
      <c r="P235" s="37"/>
      <c r="R235" s="79">
        <v>4</v>
      </c>
      <c r="S235" s="134"/>
      <c r="U235" s="156">
        <v>44376</v>
      </c>
      <c r="W235" s="80"/>
      <c r="Y235" s="80">
        <v>44376</v>
      </c>
      <c r="Z235" s="120">
        <v>4</v>
      </c>
      <c r="AA235" s="80"/>
      <c r="AC235" s="117">
        <v>44374</v>
      </c>
      <c r="AD235" s="37"/>
      <c r="AE235" s="80"/>
      <c r="AG235" s="119">
        <v>44372</v>
      </c>
      <c r="AI235" s="80"/>
      <c r="AK235" s="119">
        <v>44370</v>
      </c>
      <c r="AL235" s="146">
        <v>10</v>
      </c>
      <c r="AM235" s="162"/>
      <c r="AO235" s="152">
        <v>44380</v>
      </c>
      <c r="AP235" s="37"/>
      <c r="AQ235" s="118"/>
      <c r="AS235" s="152">
        <v>44380</v>
      </c>
      <c r="AT235" s="37"/>
      <c r="AU235" s="118"/>
      <c r="AW235" s="152">
        <v>44380</v>
      </c>
      <c r="AX235" s="37"/>
      <c r="AY235" s="118"/>
      <c r="BA235" s="152">
        <v>44380</v>
      </c>
      <c r="BB235" s="37"/>
      <c r="BC235" s="118"/>
      <c r="BE235" s="152">
        <v>44380</v>
      </c>
      <c r="BF235" s="37"/>
      <c r="BG235" s="118"/>
      <c r="BI235" s="152">
        <v>44380</v>
      </c>
      <c r="BJ235" s="37"/>
      <c r="BK235" s="118"/>
      <c r="BM235" s="152">
        <v>44380</v>
      </c>
      <c r="BN235" s="37"/>
      <c r="BO235" s="118"/>
      <c r="BQ235" s="152">
        <v>44380</v>
      </c>
      <c r="BR235" s="37"/>
      <c r="BS235" s="118"/>
      <c r="BU235" s="152">
        <v>44380</v>
      </c>
      <c r="BV235" s="37"/>
      <c r="BW235" s="118"/>
      <c r="BY235" s="152">
        <v>44380</v>
      </c>
      <c r="BZ235" s="37"/>
      <c r="CA235" s="118"/>
    </row>
    <row r="236" spans="1:79">
      <c r="A236" s="133">
        <v>44377</v>
      </c>
      <c r="C236" s="120"/>
      <c r="E236" s="117">
        <v>44374</v>
      </c>
      <c r="F236" s="37"/>
      <c r="G236" s="118"/>
      <c r="I236" s="118">
        <v>44370</v>
      </c>
      <c r="J236" s="79">
        <v>3</v>
      </c>
      <c r="K236" s="79"/>
      <c r="N236" s="117">
        <v>44367</v>
      </c>
      <c r="O236" s="37"/>
      <c r="P236" s="37"/>
      <c r="R236" s="79">
        <v>5</v>
      </c>
      <c r="S236" s="134"/>
      <c r="U236" s="156">
        <v>44377</v>
      </c>
      <c r="W236" s="80"/>
      <c r="Y236" s="119">
        <v>44377</v>
      </c>
      <c r="AA236" s="80"/>
      <c r="AC236" s="80">
        <v>44375</v>
      </c>
      <c r="AD236" s="120">
        <v>7</v>
      </c>
      <c r="AE236" s="80"/>
      <c r="AG236" s="117">
        <v>44373</v>
      </c>
      <c r="AH236" s="37"/>
      <c r="AI236" s="80"/>
      <c r="AK236" s="121" t="s">
        <v>85</v>
      </c>
      <c r="AL236" s="121">
        <f>COUNTA(AL222:AL235)</f>
        <v>10</v>
      </c>
      <c r="AM236" s="158">
        <f>IF(AL236&lt;=$U$45,1,AL236/$U$45)</f>
        <v>1</v>
      </c>
      <c r="AO236" s="152">
        <v>44381</v>
      </c>
      <c r="AP236" s="37"/>
      <c r="AQ236" s="118"/>
      <c r="AS236" s="152">
        <v>44381</v>
      </c>
      <c r="AT236" s="37"/>
      <c r="AU236" s="118"/>
      <c r="AW236" s="152">
        <v>44381</v>
      </c>
      <c r="AX236" s="37"/>
      <c r="AY236" s="118"/>
      <c r="BA236" s="152">
        <v>44381</v>
      </c>
      <c r="BB236" s="37"/>
      <c r="BC236" s="118"/>
      <c r="BE236" s="152">
        <v>44381</v>
      </c>
      <c r="BF236" s="37"/>
      <c r="BG236" s="118"/>
      <c r="BI236" s="152">
        <v>44381</v>
      </c>
      <c r="BJ236" s="37"/>
      <c r="BK236" s="118"/>
      <c r="BM236" s="152">
        <v>44381</v>
      </c>
      <c r="BN236" s="37"/>
      <c r="BO236" s="118"/>
      <c r="BQ236" s="152">
        <v>44381</v>
      </c>
      <c r="BR236" s="37"/>
      <c r="BS236" s="118"/>
      <c r="BU236" s="152">
        <v>44381</v>
      </c>
      <c r="BV236" s="37"/>
      <c r="BW236" s="118"/>
      <c r="BY236" s="152">
        <v>44381</v>
      </c>
      <c r="BZ236" s="37"/>
      <c r="CA236" s="118"/>
    </row>
    <row r="237" spans="1:79">
      <c r="A237" s="133">
        <v>44378</v>
      </c>
      <c r="C237" s="120"/>
      <c r="E237" s="118">
        <v>44375</v>
      </c>
      <c r="F237" s="79">
        <v>3</v>
      </c>
      <c r="G237" s="118"/>
      <c r="I237" s="119">
        <v>44371</v>
      </c>
      <c r="K237" s="79"/>
      <c r="N237" s="80">
        <v>44368</v>
      </c>
      <c r="O237" s="120">
        <v>6</v>
      </c>
      <c r="P237" s="120">
        <v>1</v>
      </c>
      <c r="R237" s="79">
        <v>6</v>
      </c>
      <c r="S237" s="134"/>
      <c r="U237" s="156">
        <v>44378</v>
      </c>
      <c r="W237" s="80"/>
      <c r="Y237" s="119">
        <v>44378</v>
      </c>
      <c r="AA237" s="80"/>
      <c r="AC237" s="80">
        <v>44376</v>
      </c>
      <c r="AD237" s="120">
        <v>8</v>
      </c>
      <c r="AE237" s="80"/>
      <c r="AG237" s="117">
        <v>44374</v>
      </c>
      <c r="AH237" s="37"/>
      <c r="AI237" s="80"/>
      <c r="AK237" s="119">
        <v>44371</v>
      </c>
      <c r="AL237" s="146">
        <v>1</v>
      </c>
      <c r="AM237" s="162"/>
      <c r="AO237" s="154">
        <v>44382</v>
      </c>
      <c r="AP237" s="79">
        <v>27</v>
      </c>
      <c r="AQ237" s="118"/>
      <c r="AS237" s="154">
        <v>44382</v>
      </c>
      <c r="AT237" s="79">
        <v>53</v>
      </c>
      <c r="AU237" s="118"/>
      <c r="AW237" s="154">
        <v>44382</v>
      </c>
      <c r="AX237" s="79">
        <v>79</v>
      </c>
      <c r="AY237" s="118"/>
      <c r="BA237" s="154">
        <v>44382</v>
      </c>
      <c r="BB237" s="79">
        <v>105</v>
      </c>
      <c r="BC237" s="118"/>
      <c r="BE237" s="154">
        <v>44382</v>
      </c>
      <c r="BF237" s="79">
        <v>128</v>
      </c>
      <c r="BG237" s="118"/>
      <c r="BI237" s="154">
        <v>44382</v>
      </c>
      <c r="BJ237" s="79">
        <v>27</v>
      </c>
      <c r="BK237" s="118"/>
      <c r="BM237" s="154">
        <v>44382</v>
      </c>
      <c r="BN237" s="79">
        <v>53</v>
      </c>
      <c r="BO237" s="118"/>
      <c r="BQ237" s="154">
        <v>44382</v>
      </c>
      <c r="BR237" s="79">
        <v>79</v>
      </c>
      <c r="BS237" s="118"/>
      <c r="BU237" s="154">
        <v>44382</v>
      </c>
      <c r="BV237" s="79">
        <v>105</v>
      </c>
      <c r="BW237" s="118"/>
      <c r="BY237" s="154">
        <v>44382</v>
      </c>
      <c r="BZ237" s="79">
        <v>128</v>
      </c>
      <c r="CA237" s="118"/>
    </row>
    <row r="238" spans="1:79">
      <c r="A238" s="133">
        <v>44379</v>
      </c>
      <c r="C238" s="80"/>
      <c r="D238" s="119"/>
      <c r="E238" s="118">
        <v>44376</v>
      </c>
      <c r="F238" s="79">
        <v>4</v>
      </c>
      <c r="G238" s="118"/>
      <c r="H238" s="119"/>
      <c r="I238" s="119">
        <v>44372</v>
      </c>
      <c r="K238" s="79"/>
      <c r="L238" s="119"/>
      <c r="M238" s="119"/>
      <c r="N238" s="121" t="s">
        <v>85</v>
      </c>
      <c r="O238" s="121">
        <f>COUNTA(O226:O237)</f>
        <v>6</v>
      </c>
      <c r="P238" s="122">
        <f>IF(O238&lt;=$A$45,1,O238/$A$45)</f>
        <v>1</v>
      </c>
      <c r="Q238" s="119"/>
      <c r="R238" s="120">
        <v>1</v>
      </c>
      <c r="S238" s="135"/>
      <c r="U238" s="156">
        <v>44379</v>
      </c>
      <c r="W238" s="80"/>
      <c r="X238" s="119"/>
      <c r="Y238" s="119">
        <v>44379</v>
      </c>
      <c r="AA238" s="80"/>
      <c r="AC238" s="80">
        <v>44377</v>
      </c>
      <c r="AD238" s="120">
        <v>9</v>
      </c>
      <c r="AE238" s="80"/>
      <c r="AG238" s="80">
        <v>44375</v>
      </c>
      <c r="AH238" s="120">
        <v>10</v>
      </c>
      <c r="AI238" s="80"/>
      <c r="AK238" s="119">
        <v>44372</v>
      </c>
      <c r="AL238">
        <v>2</v>
      </c>
      <c r="AM238" s="162"/>
      <c r="AO238" s="156">
        <v>44383</v>
      </c>
      <c r="AQ238" s="118"/>
      <c r="AS238" s="156">
        <v>44383</v>
      </c>
      <c r="AT238">
        <v>54</v>
      </c>
      <c r="AU238" s="118"/>
      <c r="AW238" s="156">
        <v>44383</v>
      </c>
      <c r="AX238">
        <v>80</v>
      </c>
      <c r="AY238" s="118"/>
      <c r="BA238" s="156">
        <v>44383</v>
      </c>
      <c r="BB238" s="79">
        <v>106</v>
      </c>
      <c r="BC238" s="118"/>
      <c r="BE238" s="156">
        <v>44383</v>
      </c>
      <c r="BF238" s="79">
        <v>129</v>
      </c>
      <c r="BG238" s="118"/>
      <c r="BI238" s="156">
        <v>44383</v>
      </c>
      <c r="BK238" s="118"/>
      <c r="BM238" s="156">
        <v>44383</v>
      </c>
      <c r="BN238">
        <v>54</v>
      </c>
      <c r="BO238" s="118"/>
      <c r="BQ238" s="156">
        <v>44383</v>
      </c>
      <c r="BR238">
        <v>80</v>
      </c>
      <c r="BS238" s="118"/>
      <c r="BU238" s="156">
        <v>44383</v>
      </c>
      <c r="BV238" s="79">
        <v>106</v>
      </c>
      <c r="BW238" s="118"/>
      <c r="BY238" s="156">
        <v>44383</v>
      </c>
      <c r="BZ238" s="79">
        <v>129</v>
      </c>
      <c r="CA238" s="118"/>
    </row>
    <row r="239" spans="1:79">
      <c r="A239" s="129">
        <v>44380</v>
      </c>
      <c r="B239" s="37"/>
      <c r="C239" s="120"/>
      <c r="E239" s="119">
        <v>44377</v>
      </c>
      <c r="G239" s="118"/>
      <c r="I239" s="117">
        <v>44373</v>
      </c>
      <c r="J239" s="37"/>
      <c r="K239" s="79"/>
      <c r="L239" s="37"/>
      <c r="M239" s="37"/>
      <c r="N239" s="118">
        <v>44369</v>
      </c>
      <c r="O239" s="79">
        <v>1</v>
      </c>
      <c r="P239" s="79">
        <v>2</v>
      </c>
      <c r="R239" s="37"/>
      <c r="S239" s="130"/>
      <c r="U239" s="152">
        <v>44380</v>
      </c>
      <c r="V239" s="37"/>
      <c r="W239" s="80"/>
      <c r="Y239" s="117">
        <v>44380</v>
      </c>
      <c r="Z239" s="37"/>
      <c r="AA239" s="80"/>
      <c r="AC239" s="119">
        <v>44378</v>
      </c>
      <c r="AE239" s="80"/>
      <c r="AG239" s="121" t="s">
        <v>85</v>
      </c>
      <c r="AH239" s="121">
        <f>COUNTA(AH220:AH238)</f>
        <v>10</v>
      </c>
      <c r="AI239" s="122">
        <f>IF(AH239&lt;=$U$45,1,AH239/$U$45)</f>
        <v>1</v>
      </c>
      <c r="AK239" s="117">
        <v>44373</v>
      </c>
      <c r="AL239" s="37"/>
      <c r="AM239" s="162"/>
      <c r="AO239" s="156">
        <v>44384</v>
      </c>
      <c r="AQ239" s="118"/>
      <c r="AR239" s="119"/>
      <c r="AS239" s="156">
        <v>44384</v>
      </c>
      <c r="AU239" s="118"/>
      <c r="AW239" s="156">
        <v>44384</v>
      </c>
      <c r="AX239">
        <v>81</v>
      </c>
      <c r="AY239" s="118"/>
      <c r="BA239" s="156">
        <v>44384</v>
      </c>
      <c r="BB239" s="79">
        <v>107</v>
      </c>
      <c r="BC239" s="118"/>
      <c r="BE239" s="156">
        <v>44384</v>
      </c>
      <c r="BF239" s="79">
        <v>130</v>
      </c>
      <c r="BG239" s="118"/>
      <c r="BI239" s="156">
        <v>44384</v>
      </c>
      <c r="BK239" s="118"/>
      <c r="BL239" s="119"/>
      <c r="BM239" s="156">
        <v>44384</v>
      </c>
      <c r="BO239" s="118"/>
      <c r="BQ239" s="156">
        <v>44384</v>
      </c>
      <c r="BR239">
        <v>81</v>
      </c>
      <c r="BS239" s="118"/>
      <c r="BU239" s="156">
        <v>44384</v>
      </c>
      <c r="BV239" s="79">
        <v>107</v>
      </c>
      <c r="BW239" s="118"/>
      <c r="BY239" s="156">
        <v>44384</v>
      </c>
      <c r="BZ239" s="79">
        <v>130</v>
      </c>
      <c r="CA239" s="118"/>
    </row>
    <row r="240" spans="1:79">
      <c r="A240" s="129">
        <v>44381</v>
      </c>
      <c r="B240" s="37"/>
      <c r="C240" s="120"/>
      <c r="D240" s="72"/>
      <c r="E240" s="119">
        <v>44378</v>
      </c>
      <c r="G240" s="118"/>
      <c r="H240" s="72"/>
      <c r="I240" s="117">
        <v>44374</v>
      </c>
      <c r="J240" s="37"/>
      <c r="K240" s="79"/>
      <c r="L240" s="122"/>
      <c r="M240" s="122"/>
      <c r="N240" s="118">
        <v>44370</v>
      </c>
      <c r="O240" s="79">
        <v>2</v>
      </c>
      <c r="P240" s="79">
        <v>3</v>
      </c>
      <c r="Q240" s="72"/>
      <c r="R240" s="121">
        <f>COUNTA(R210:R239)</f>
        <v>21</v>
      </c>
      <c r="S240" s="137">
        <f>IF(R240&lt;=$A$45,1,R240/$A$45)</f>
        <v>3.5</v>
      </c>
      <c r="U240" s="152">
        <v>44381</v>
      </c>
      <c r="V240" s="37"/>
      <c r="W240" s="80"/>
      <c r="X240" s="72"/>
      <c r="Y240" s="117">
        <v>44381</v>
      </c>
      <c r="Z240" s="37"/>
      <c r="AA240" s="80"/>
      <c r="AC240" s="119">
        <v>44379</v>
      </c>
      <c r="AE240" s="80"/>
      <c r="AG240" s="118">
        <v>44376</v>
      </c>
      <c r="AH240" s="79">
        <v>1</v>
      </c>
      <c r="AI240" s="118"/>
      <c r="AK240" s="117">
        <v>44374</v>
      </c>
      <c r="AL240" s="37"/>
      <c r="AM240" s="162"/>
      <c r="AO240" s="156">
        <v>44385</v>
      </c>
      <c r="AQ240" s="118"/>
      <c r="AS240" s="156">
        <v>44385</v>
      </c>
      <c r="AU240" s="118"/>
      <c r="AW240" s="156">
        <v>44385</v>
      </c>
      <c r="AY240" s="118"/>
      <c r="BA240" s="156">
        <v>44385</v>
      </c>
      <c r="BB240" s="79">
        <v>108</v>
      </c>
      <c r="BC240" s="118"/>
      <c r="BE240" s="156">
        <v>44385</v>
      </c>
      <c r="BF240" s="79">
        <v>131</v>
      </c>
      <c r="BG240" s="118"/>
      <c r="BI240" s="156">
        <v>44385</v>
      </c>
      <c r="BK240" s="118"/>
      <c r="BM240" s="156">
        <v>44385</v>
      </c>
      <c r="BO240" s="118"/>
      <c r="BQ240" s="156">
        <v>44385</v>
      </c>
      <c r="BS240" s="118"/>
      <c r="BU240" s="156">
        <v>44385</v>
      </c>
      <c r="BV240" s="79">
        <v>108</v>
      </c>
      <c r="BW240" s="118"/>
      <c r="BY240" s="156">
        <v>44385</v>
      </c>
      <c r="BZ240" s="79">
        <v>131</v>
      </c>
      <c r="CA240" s="118"/>
    </row>
    <row r="241" spans="1:79">
      <c r="A241" s="138">
        <v>44382</v>
      </c>
      <c r="B241" s="120">
        <v>3</v>
      </c>
      <c r="C241" s="80"/>
      <c r="E241" s="119">
        <v>44379</v>
      </c>
      <c r="G241" s="118"/>
      <c r="I241" s="118">
        <v>44375</v>
      </c>
      <c r="J241" s="79">
        <v>4</v>
      </c>
      <c r="K241" s="79"/>
      <c r="L241" s="37"/>
      <c r="M241" s="37"/>
      <c r="N241" s="118">
        <v>44371</v>
      </c>
      <c r="O241" s="79">
        <v>3</v>
      </c>
      <c r="P241" s="79">
        <v>4</v>
      </c>
      <c r="R241" s="37"/>
      <c r="S241" s="130"/>
      <c r="U241" s="161">
        <v>44382</v>
      </c>
      <c r="V241" s="120">
        <v>3</v>
      </c>
      <c r="W241" s="80"/>
      <c r="Y241" s="80">
        <v>44382</v>
      </c>
      <c r="Z241" s="120">
        <v>5</v>
      </c>
      <c r="AA241" s="80"/>
      <c r="AC241" s="117">
        <v>44380</v>
      </c>
      <c r="AD241" s="37"/>
      <c r="AE241" s="80"/>
      <c r="AG241" s="118">
        <v>44377</v>
      </c>
      <c r="AH241" s="79">
        <v>2</v>
      </c>
      <c r="AI241" s="118"/>
      <c r="AK241" s="118">
        <v>44375</v>
      </c>
      <c r="AL241" s="120">
        <v>3</v>
      </c>
      <c r="AM241" s="162"/>
      <c r="AO241" s="156">
        <v>44386</v>
      </c>
      <c r="AQ241" s="118"/>
      <c r="AR241" s="72"/>
      <c r="AS241" s="156">
        <v>44386</v>
      </c>
      <c r="AU241" s="118"/>
      <c r="AW241" s="156">
        <v>44386</v>
      </c>
      <c r="AY241" s="118"/>
      <c r="BA241" s="156">
        <v>44386</v>
      </c>
      <c r="BC241" s="118"/>
      <c r="BE241" s="156">
        <v>44386</v>
      </c>
      <c r="BF241" s="79">
        <v>132</v>
      </c>
      <c r="BG241" s="118"/>
      <c r="BI241" s="156">
        <v>44386</v>
      </c>
      <c r="BK241" s="118"/>
      <c r="BL241" s="72"/>
      <c r="BM241" s="156">
        <v>44386</v>
      </c>
      <c r="BO241" s="118"/>
      <c r="BQ241" s="156">
        <v>44386</v>
      </c>
      <c r="BS241" s="118"/>
      <c r="BU241" s="156">
        <v>44386</v>
      </c>
      <c r="BW241" s="118"/>
      <c r="BY241" s="156">
        <v>44386</v>
      </c>
      <c r="BZ241" s="79">
        <v>132</v>
      </c>
      <c r="CA241" s="118"/>
    </row>
    <row r="242" spans="1:79">
      <c r="A242" s="133">
        <v>44383</v>
      </c>
      <c r="C242" s="120"/>
      <c r="D242" s="119"/>
      <c r="E242" s="117">
        <v>44380</v>
      </c>
      <c r="F242" s="37"/>
      <c r="G242" s="118"/>
      <c r="H242" s="119"/>
      <c r="I242" s="118">
        <v>44376</v>
      </c>
      <c r="J242" s="79">
        <v>5</v>
      </c>
      <c r="K242" s="79"/>
      <c r="L242" s="119"/>
      <c r="M242" s="119"/>
      <c r="N242" s="119">
        <v>44372</v>
      </c>
      <c r="Q242" s="119"/>
      <c r="R242" s="120">
        <v>2</v>
      </c>
      <c r="S242" s="125"/>
      <c r="U242" s="156">
        <v>44383</v>
      </c>
      <c r="W242" s="80"/>
      <c r="X242" s="119"/>
      <c r="Y242" s="80">
        <v>44383</v>
      </c>
      <c r="Z242" s="120">
        <v>6</v>
      </c>
      <c r="AA242" s="80"/>
      <c r="AC242" s="117">
        <v>44381</v>
      </c>
      <c r="AD242" s="37"/>
      <c r="AE242" s="80"/>
      <c r="AG242" s="118">
        <v>44378</v>
      </c>
      <c r="AH242" s="79">
        <v>3</v>
      </c>
      <c r="AI242" s="118"/>
      <c r="AK242" s="119">
        <v>44376</v>
      </c>
      <c r="AL242" s="120">
        <v>4</v>
      </c>
      <c r="AM242" s="162"/>
      <c r="AO242" s="152">
        <v>44387</v>
      </c>
      <c r="AP242" s="37"/>
      <c r="AQ242" s="118"/>
      <c r="AS242" s="152">
        <v>44387</v>
      </c>
      <c r="AT242" s="37"/>
      <c r="AU242" s="118"/>
      <c r="AW242" s="152">
        <v>44387</v>
      </c>
      <c r="AX242" s="37"/>
      <c r="AY242" s="118"/>
      <c r="BA242" s="152">
        <v>44387</v>
      </c>
      <c r="BB242" s="37"/>
      <c r="BC242" s="118"/>
      <c r="BE242" s="152">
        <v>44387</v>
      </c>
      <c r="BF242" s="37"/>
      <c r="BG242" s="118"/>
      <c r="BI242" s="152">
        <v>44387</v>
      </c>
      <c r="BJ242" s="37"/>
      <c r="BK242" s="118"/>
      <c r="BM242" s="152">
        <v>44387</v>
      </c>
      <c r="BN242" s="37"/>
      <c r="BO242" s="118"/>
      <c r="BQ242" s="152">
        <v>44387</v>
      </c>
      <c r="BR242" s="37"/>
      <c r="BS242" s="118"/>
      <c r="BU242" s="152">
        <v>44387</v>
      </c>
      <c r="BV242" s="37"/>
      <c r="BW242" s="118"/>
      <c r="BY242" s="152">
        <v>44387</v>
      </c>
      <c r="BZ242" s="37"/>
      <c r="CA242" s="118"/>
    </row>
    <row r="243" spans="1:79">
      <c r="A243" s="133">
        <v>44384</v>
      </c>
      <c r="C243" s="120"/>
      <c r="E243" s="117">
        <v>44381</v>
      </c>
      <c r="F243" s="37"/>
      <c r="G243" s="118"/>
      <c r="I243" s="118">
        <v>44377</v>
      </c>
      <c r="J243" s="79">
        <v>6</v>
      </c>
      <c r="K243" s="79"/>
      <c r="N243" s="117">
        <v>44373</v>
      </c>
      <c r="O243" s="37"/>
      <c r="P243" s="37"/>
      <c r="R243" s="120">
        <v>3</v>
      </c>
      <c r="S243" s="125"/>
      <c r="U243" s="156">
        <v>44384</v>
      </c>
      <c r="W243" s="80"/>
      <c r="Y243" s="119">
        <v>44384</v>
      </c>
      <c r="AA243" s="80"/>
      <c r="AC243" s="80">
        <v>44382</v>
      </c>
      <c r="AD243" s="120">
        <v>10</v>
      </c>
      <c r="AE243" s="80"/>
      <c r="AG243" s="119">
        <v>44379</v>
      </c>
      <c r="AI243" s="118"/>
      <c r="AK243" s="119">
        <v>44377</v>
      </c>
      <c r="AL243" s="146">
        <v>5</v>
      </c>
      <c r="AM243" s="162"/>
      <c r="AO243" s="152">
        <v>44388</v>
      </c>
      <c r="AP243" s="37"/>
      <c r="AQ243" s="118"/>
      <c r="AR243" s="119"/>
      <c r="AS243" s="152">
        <v>44388</v>
      </c>
      <c r="AT243" s="37"/>
      <c r="AU243" s="118"/>
      <c r="AW243" s="152">
        <v>44388</v>
      </c>
      <c r="AX243" s="37"/>
      <c r="AY243" s="118"/>
      <c r="BA243" s="152">
        <v>44388</v>
      </c>
      <c r="BB243" s="37"/>
      <c r="BC243" s="118"/>
      <c r="BE243" s="152">
        <v>44388</v>
      </c>
      <c r="BF243" s="37"/>
      <c r="BG243" s="118"/>
      <c r="BI243" s="152">
        <v>44388</v>
      </c>
      <c r="BJ243" s="37"/>
      <c r="BK243" s="118"/>
      <c r="BL243" s="119"/>
      <c r="BM243" s="152">
        <v>44388</v>
      </c>
      <c r="BN243" s="37"/>
      <c r="BO243" s="118"/>
      <c r="BQ243" s="152">
        <v>44388</v>
      </c>
      <c r="BR243" s="37"/>
      <c r="BS243" s="118"/>
      <c r="BU243" s="152">
        <v>44388</v>
      </c>
      <c r="BV243" s="37"/>
      <c r="BW243" s="118"/>
      <c r="BY243" s="152">
        <v>44388</v>
      </c>
      <c r="BZ243" s="37"/>
      <c r="CA243" s="118"/>
    </row>
    <row r="244" spans="1:79">
      <c r="A244" s="133">
        <v>44385</v>
      </c>
      <c r="C244" s="120"/>
      <c r="E244" s="118">
        <v>44382</v>
      </c>
      <c r="F244" s="79">
        <v>5</v>
      </c>
      <c r="G244" s="118"/>
      <c r="I244" s="121" t="s">
        <v>85</v>
      </c>
      <c r="J244" s="121">
        <f>COUNTA(J234:J243)</f>
        <v>6</v>
      </c>
      <c r="K244" s="122">
        <f>IF(J244&lt;=$A$45,1,J244/$A$45)</f>
        <v>1</v>
      </c>
      <c r="N244" s="117">
        <v>44374</v>
      </c>
      <c r="O244" s="37"/>
      <c r="P244" s="37"/>
      <c r="R244" s="120">
        <v>4</v>
      </c>
      <c r="S244" s="125"/>
      <c r="U244" s="156">
        <v>44385</v>
      </c>
      <c r="W244" s="80"/>
      <c r="Y244" s="119">
        <v>44385</v>
      </c>
      <c r="AA244" s="80"/>
      <c r="AC244" s="121" t="s">
        <v>85</v>
      </c>
      <c r="AD244" s="121">
        <f>COUNTA(AD222:AD243)</f>
        <v>10</v>
      </c>
      <c r="AE244" s="122">
        <f>IF(AD244&lt;=$U$45,1,AD244/$U$45)</f>
        <v>1</v>
      </c>
      <c r="AG244" s="117">
        <v>44380</v>
      </c>
      <c r="AH244" s="37"/>
      <c r="AI244" s="118"/>
      <c r="AK244" s="119">
        <v>44378</v>
      </c>
      <c r="AL244" s="146">
        <v>6</v>
      </c>
      <c r="AM244" s="162"/>
      <c r="AO244" s="154">
        <v>44389</v>
      </c>
      <c r="AP244" s="79">
        <v>28</v>
      </c>
      <c r="AQ244" s="118"/>
      <c r="AS244" s="154">
        <v>44389</v>
      </c>
      <c r="AT244" s="79">
        <v>55</v>
      </c>
      <c r="AU244" s="118"/>
      <c r="AW244" s="154">
        <v>44389</v>
      </c>
      <c r="AX244" s="79">
        <v>82</v>
      </c>
      <c r="AY244" s="118"/>
      <c r="BA244" s="154">
        <v>44389</v>
      </c>
      <c r="BB244" s="79">
        <v>109</v>
      </c>
      <c r="BC244" s="118"/>
      <c r="BE244" s="154">
        <v>44389</v>
      </c>
      <c r="BF244" s="79">
        <v>133</v>
      </c>
      <c r="BG244" s="118"/>
      <c r="BI244" s="154">
        <v>44389</v>
      </c>
      <c r="BJ244" s="79">
        <v>28</v>
      </c>
      <c r="BK244" s="118"/>
      <c r="BM244" s="154">
        <v>44389</v>
      </c>
      <c r="BN244" s="79">
        <v>55</v>
      </c>
      <c r="BO244" s="118"/>
      <c r="BQ244" s="154">
        <v>44389</v>
      </c>
      <c r="BR244" s="79">
        <v>82</v>
      </c>
      <c r="BS244" s="118"/>
      <c r="BU244" s="154">
        <v>44389</v>
      </c>
      <c r="BV244" s="79">
        <v>109</v>
      </c>
      <c r="BW244" s="118"/>
      <c r="BY244" s="154">
        <v>44389</v>
      </c>
      <c r="BZ244" s="79">
        <v>133</v>
      </c>
      <c r="CA244" s="118"/>
    </row>
    <row r="245" spans="1:79">
      <c r="A245" s="133">
        <v>44386</v>
      </c>
      <c r="C245" s="120"/>
      <c r="E245" s="118">
        <v>44383</v>
      </c>
      <c r="F245" s="79">
        <v>6</v>
      </c>
      <c r="G245" s="118"/>
      <c r="I245" s="119">
        <v>44378</v>
      </c>
      <c r="N245" s="118">
        <v>44375</v>
      </c>
      <c r="O245" s="79">
        <v>4</v>
      </c>
      <c r="P245" s="79">
        <v>1</v>
      </c>
      <c r="R245" s="120">
        <v>5</v>
      </c>
      <c r="S245" s="125"/>
      <c r="U245" s="156">
        <v>44386</v>
      </c>
      <c r="W245" s="80"/>
      <c r="Y245" s="119">
        <v>44386</v>
      </c>
      <c r="AA245" s="80"/>
      <c r="AC245" s="118">
        <v>44383</v>
      </c>
      <c r="AD245" s="79">
        <v>1</v>
      </c>
      <c r="AE245" s="118"/>
      <c r="AG245" s="117">
        <v>44381</v>
      </c>
      <c r="AH245" s="37"/>
      <c r="AI245" s="118"/>
      <c r="AK245" s="119">
        <v>44379</v>
      </c>
      <c r="AL245">
        <v>7</v>
      </c>
      <c r="AM245" s="162"/>
      <c r="AO245" s="156">
        <v>44390</v>
      </c>
      <c r="AQ245" s="118"/>
      <c r="AS245" s="156">
        <v>44390</v>
      </c>
      <c r="AT245">
        <v>56</v>
      </c>
      <c r="AU245" s="118"/>
      <c r="AW245" s="156">
        <v>44390</v>
      </c>
      <c r="AX245">
        <v>83</v>
      </c>
      <c r="AY245" s="118"/>
      <c r="BA245" s="156">
        <v>44390</v>
      </c>
      <c r="BB245" s="79">
        <v>110</v>
      </c>
      <c r="BC245" s="118"/>
      <c r="BE245" s="156">
        <v>44390</v>
      </c>
      <c r="BF245" s="79">
        <v>134</v>
      </c>
      <c r="BG245" s="118"/>
      <c r="BI245" s="156">
        <v>44390</v>
      </c>
      <c r="BK245" s="118"/>
      <c r="BM245" s="156">
        <v>44390</v>
      </c>
      <c r="BN245">
        <v>56</v>
      </c>
      <c r="BO245" s="118"/>
      <c r="BQ245" s="156">
        <v>44390</v>
      </c>
      <c r="BR245">
        <v>83</v>
      </c>
      <c r="BS245" s="118"/>
      <c r="BU245" s="156">
        <v>44390</v>
      </c>
      <c r="BV245" s="79">
        <v>110</v>
      </c>
      <c r="BW245" s="118"/>
      <c r="BY245" s="156">
        <v>44390</v>
      </c>
      <c r="BZ245" s="79">
        <v>134</v>
      </c>
      <c r="CA245" s="118"/>
    </row>
    <row r="246" spans="1:79">
      <c r="A246" s="129">
        <v>44387</v>
      </c>
      <c r="B246" s="37"/>
      <c r="C246" s="120"/>
      <c r="E246" s="121" t="s">
        <v>85</v>
      </c>
      <c r="F246" s="121">
        <f>COUNTA(F230:F245)</f>
        <v>6</v>
      </c>
      <c r="G246" s="122">
        <f>IF(F246&lt;=$A$45,1,F246/$A$45)</f>
        <v>1</v>
      </c>
      <c r="I246" s="119">
        <v>44379</v>
      </c>
      <c r="K246" s="119"/>
      <c r="N246" s="118">
        <v>44376</v>
      </c>
      <c r="O246" s="79">
        <v>5</v>
      </c>
      <c r="P246" s="79">
        <v>2</v>
      </c>
      <c r="R246" s="120">
        <v>6</v>
      </c>
      <c r="S246" s="125"/>
      <c r="U246" s="152">
        <v>44387</v>
      </c>
      <c r="V246" s="37"/>
      <c r="W246" s="80"/>
      <c r="Y246" s="117">
        <v>44387</v>
      </c>
      <c r="Z246" s="37"/>
      <c r="AA246" s="80"/>
      <c r="AC246" s="118">
        <v>44384</v>
      </c>
      <c r="AD246" s="79">
        <v>2</v>
      </c>
      <c r="AE246" s="118"/>
      <c r="AG246" s="118">
        <v>44382</v>
      </c>
      <c r="AH246" s="79">
        <v>4</v>
      </c>
      <c r="AI246" s="118"/>
      <c r="AK246" s="117">
        <v>44380</v>
      </c>
      <c r="AL246" s="37"/>
      <c r="AM246" s="162"/>
      <c r="AO246" s="156">
        <v>44391</v>
      </c>
      <c r="AQ246" s="118"/>
      <c r="AS246" s="156">
        <v>44391</v>
      </c>
      <c r="AU246" s="118"/>
      <c r="AW246" s="156">
        <v>44391</v>
      </c>
      <c r="AX246">
        <v>84</v>
      </c>
      <c r="AY246" s="118"/>
      <c r="BA246" s="156">
        <v>44391</v>
      </c>
      <c r="BB246" s="79">
        <v>111</v>
      </c>
      <c r="BC246" s="118"/>
      <c r="BE246" s="156">
        <v>44391</v>
      </c>
      <c r="BF246" s="79">
        <v>135</v>
      </c>
      <c r="BG246" s="118"/>
      <c r="BI246" s="156">
        <v>44391</v>
      </c>
      <c r="BK246" s="118"/>
      <c r="BM246" s="156">
        <v>44391</v>
      </c>
      <c r="BO246" s="118"/>
      <c r="BQ246" s="156">
        <v>44391</v>
      </c>
      <c r="BR246">
        <v>84</v>
      </c>
      <c r="BS246" s="118"/>
      <c r="BU246" s="156">
        <v>44391</v>
      </c>
      <c r="BV246" s="79">
        <v>111</v>
      </c>
      <c r="BW246" s="118"/>
      <c r="BY246" s="156">
        <v>44391</v>
      </c>
      <c r="BZ246" s="79">
        <v>135</v>
      </c>
      <c r="CA246" s="118"/>
    </row>
    <row r="247" spans="1:79">
      <c r="A247" s="129">
        <v>44388</v>
      </c>
      <c r="B247" s="37"/>
      <c r="C247" s="120"/>
      <c r="E247" s="119">
        <v>44384</v>
      </c>
      <c r="I247" s="117">
        <v>44380</v>
      </c>
      <c r="J247" s="37"/>
      <c r="K247" s="37"/>
      <c r="L247" s="37"/>
      <c r="M247" s="37"/>
      <c r="N247" s="118">
        <v>44377</v>
      </c>
      <c r="O247" s="79">
        <v>6</v>
      </c>
      <c r="P247" s="79">
        <v>3</v>
      </c>
      <c r="R247" s="37"/>
      <c r="S247" s="130"/>
      <c r="U247" s="152">
        <v>44388</v>
      </c>
      <c r="V247" s="37"/>
      <c r="W247" s="80"/>
      <c r="Y247" s="117">
        <v>44388</v>
      </c>
      <c r="Z247" s="37"/>
      <c r="AA247" s="80"/>
      <c r="AC247" s="119">
        <v>44385</v>
      </c>
      <c r="AE247" s="118"/>
      <c r="AG247" s="118">
        <v>44383</v>
      </c>
      <c r="AH247" s="79">
        <v>5</v>
      </c>
      <c r="AI247" s="118"/>
      <c r="AK247" s="117">
        <v>44381</v>
      </c>
      <c r="AL247" s="37"/>
      <c r="AM247" s="162"/>
      <c r="AO247" s="156">
        <v>44392</v>
      </c>
      <c r="AQ247" s="118"/>
      <c r="AS247" s="156">
        <v>44392</v>
      </c>
      <c r="AU247" s="118"/>
      <c r="AW247" s="156">
        <v>44392</v>
      </c>
      <c r="AY247" s="118"/>
      <c r="BA247" s="156">
        <v>44392</v>
      </c>
      <c r="BB247" s="79">
        <v>112</v>
      </c>
      <c r="BC247" s="118"/>
      <c r="BE247" s="156">
        <v>44392</v>
      </c>
      <c r="BF247" s="79">
        <v>136</v>
      </c>
      <c r="BG247" s="118"/>
      <c r="BI247" s="156">
        <v>44392</v>
      </c>
      <c r="BK247" s="118"/>
      <c r="BM247" s="156">
        <v>44392</v>
      </c>
      <c r="BO247" s="118"/>
      <c r="BQ247" s="156">
        <v>44392</v>
      </c>
      <c r="BS247" s="118"/>
      <c r="BU247" s="156">
        <v>44392</v>
      </c>
      <c r="BV247" s="79">
        <v>112</v>
      </c>
      <c r="BW247" s="118"/>
      <c r="BY247" s="156">
        <v>44392</v>
      </c>
      <c r="BZ247" s="79">
        <v>136</v>
      </c>
      <c r="CA247" s="118"/>
    </row>
    <row r="248" spans="1:79">
      <c r="A248" s="138">
        <v>44389</v>
      </c>
      <c r="B248" s="120">
        <v>4</v>
      </c>
      <c r="C248" s="80"/>
      <c r="E248" s="119">
        <v>44385</v>
      </c>
      <c r="I248" s="117">
        <v>44381</v>
      </c>
      <c r="J248" s="37"/>
      <c r="K248" s="37"/>
      <c r="L248" s="37"/>
      <c r="M248" s="37"/>
      <c r="N248" s="121" t="s">
        <v>85</v>
      </c>
      <c r="O248" s="121">
        <f>COUNTA(O239:O247)</f>
        <v>6</v>
      </c>
      <c r="P248" s="122">
        <f>IF(O248&lt;=$A$45,1,O248/$A$45)</f>
        <v>1</v>
      </c>
      <c r="R248" s="37"/>
      <c r="S248" s="130"/>
      <c r="U248" s="161">
        <v>44389</v>
      </c>
      <c r="V248" s="120">
        <v>4</v>
      </c>
      <c r="W248" s="80"/>
      <c r="Y248" s="80">
        <v>44389</v>
      </c>
      <c r="Z248" s="120">
        <v>7</v>
      </c>
      <c r="AA248" s="80"/>
      <c r="AC248" s="119">
        <v>44386</v>
      </c>
      <c r="AE248" s="118"/>
      <c r="AG248" s="118">
        <v>44384</v>
      </c>
      <c r="AH248" s="79">
        <v>6</v>
      </c>
      <c r="AI248" s="118"/>
      <c r="AK248" s="118">
        <v>44382</v>
      </c>
      <c r="AL248" s="120">
        <v>8</v>
      </c>
      <c r="AM248" s="162"/>
      <c r="AO248" s="156">
        <v>44393</v>
      </c>
      <c r="AQ248" s="118"/>
      <c r="AS248" s="156">
        <v>44393</v>
      </c>
      <c r="AU248" s="118"/>
      <c r="AW248" s="156">
        <v>44393</v>
      </c>
      <c r="AY248" s="118"/>
      <c r="BA248" s="156">
        <v>44393</v>
      </c>
      <c r="BC248" s="118"/>
      <c r="BE248" s="156">
        <v>44393</v>
      </c>
      <c r="BF248" s="79">
        <v>137</v>
      </c>
      <c r="BG248" s="118"/>
      <c r="BI248" s="156">
        <v>44393</v>
      </c>
      <c r="BK248" s="118"/>
      <c r="BM248" s="156">
        <v>44393</v>
      </c>
      <c r="BO248" s="118"/>
      <c r="BQ248" s="156">
        <v>44393</v>
      </c>
      <c r="BS248" s="118"/>
      <c r="BU248" s="156">
        <v>44393</v>
      </c>
      <c r="BW248" s="118"/>
      <c r="BY248" s="156">
        <v>44393</v>
      </c>
      <c r="BZ248" s="79">
        <v>137</v>
      </c>
      <c r="CA248" s="118"/>
    </row>
    <row r="249" spans="1:79">
      <c r="A249" s="133">
        <v>44390</v>
      </c>
      <c r="C249" s="120"/>
      <c r="D249" s="119"/>
      <c r="E249" s="119">
        <v>44386</v>
      </c>
      <c r="H249" s="119"/>
      <c r="I249" s="80">
        <v>44382</v>
      </c>
      <c r="J249" s="120">
        <v>1</v>
      </c>
      <c r="K249" s="80"/>
      <c r="L249" s="119"/>
      <c r="M249" s="119"/>
      <c r="N249" s="80">
        <v>44378</v>
      </c>
      <c r="O249" s="120">
        <v>1</v>
      </c>
      <c r="P249" s="120">
        <v>4</v>
      </c>
      <c r="Q249" s="119"/>
      <c r="R249" s="79">
        <v>1</v>
      </c>
      <c r="S249" s="132"/>
      <c r="U249" s="156">
        <v>44390</v>
      </c>
      <c r="W249" s="80"/>
      <c r="X249" s="119"/>
      <c r="Y249" s="80">
        <v>44390</v>
      </c>
      <c r="Z249" s="120">
        <v>8</v>
      </c>
      <c r="AA249" s="80"/>
      <c r="AC249" s="117">
        <v>44387</v>
      </c>
      <c r="AD249" s="37"/>
      <c r="AE249" s="118"/>
      <c r="AG249" s="118">
        <v>44385</v>
      </c>
      <c r="AH249" s="79">
        <v>7</v>
      </c>
      <c r="AI249" s="118"/>
      <c r="AK249" s="119">
        <v>44383</v>
      </c>
      <c r="AL249" s="120">
        <v>9</v>
      </c>
      <c r="AM249" s="162"/>
      <c r="AO249" s="152">
        <v>44394</v>
      </c>
      <c r="AP249" s="37"/>
      <c r="AQ249" s="118"/>
      <c r="AS249" s="152">
        <v>44394</v>
      </c>
      <c r="AT249" s="37"/>
      <c r="AU249" s="118"/>
      <c r="AW249" s="152">
        <v>44394</v>
      </c>
      <c r="AX249" s="37"/>
      <c r="AY249" s="118"/>
      <c r="BA249" s="152">
        <v>44394</v>
      </c>
      <c r="BB249" s="37"/>
      <c r="BC249" s="118"/>
      <c r="BE249" s="152">
        <v>44394</v>
      </c>
      <c r="BF249" s="37"/>
      <c r="BG249" s="118"/>
      <c r="BI249" s="152">
        <v>44394</v>
      </c>
      <c r="BJ249" s="37"/>
      <c r="BK249" s="118"/>
      <c r="BM249" s="152">
        <v>44394</v>
      </c>
      <c r="BN249" s="37"/>
      <c r="BO249" s="118"/>
      <c r="BQ249" s="152">
        <v>44394</v>
      </c>
      <c r="BR249" s="37"/>
      <c r="BS249" s="118"/>
      <c r="BU249" s="152">
        <v>44394</v>
      </c>
      <c r="BV249" s="37"/>
      <c r="BW249" s="118"/>
      <c r="BY249" s="152">
        <v>44394</v>
      </c>
      <c r="BZ249" s="37"/>
      <c r="CA249" s="118"/>
    </row>
    <row r="250" spans="1:79">
      <c r="A250" s="133">
        <v>44391</v>
      </c>
      <c r="C250" s="80"/>
      <c r="E250" s="117">
        <v>44387</v>
      </c>
      <c r="F250" s="37"/>
      <c r="G250" s="37"/>
      <c r="I250" s="80">
        <v>44383</v>
      </c>
      <c r="J250" s="120">
        <v>2</v>
      </c>
      <c r="K250" s="80"/>
      <c r="N250" s="119">
        <v>44379</v>
      </c>
      <c r="P250" s="119"/>
      <c r="R250" s="79">
        <v>2</v>
      </c>
      <c r="S250" s="134"/>
      <c r="U250" s="156">
        <v>44391</v>
      </c>
      <c r="W250" s="80"/>
      <c r="Y250" s="119">
        <v>44391</v>
      </c>
      <c r="AA250" s="80"/>
      <c r="AC250" s="117">
        <v>44388</v>
      </c>
      <c r="AD250" s="37"/>
      <c r="AE250" s="118"/>
      <c r="AG250" s="119">
        <v>44386</v>
      </c>
      <c r="AI250" s="118"/>
      <c r="AK250" s="119">
        <v>44384</v>
      </c>
      <c r="AL250" s="146">
        <v>10</v>
      </c>
      <c r="AM250" s="162"/>
      <c r="AO250" s="152">
        <v>44395</v>
      </c>
      <c r="AP250" s="37"/>
      <c r="AQ250" s="118"/>
      <c r="AR250" s="119"/>
      <c r="AS250" s="152">
        <v>44395</v>
      </c>
      <c r="AT250" s="37"/>
      <c r="AU250" s="118"/>
      <c r="AW250" s="152">
        <v>44395</v>
      </c>
      <c r="AX250" s="37"/>
      <c r="AY250" s="118"/>
      <c r="BA250" s="152">
        <v>44395</v>
      </c>
      <c r="BB250" s="37"/>
      <c r="BC250" s="118"/>
      <c r="BE250" s="152">
        <v>44395</v>
      </c>
      <c r="BF250" s="37"/>
      <c r="BG250" s="118"/>
      <c r="BI250" s="152">
        <v>44395</v>
      </c>
      <c r="BJ250" s="37"/>
      <c r="BK250" s="118"/>
      <c r="BL250" s="119"/>
      <c r="BM250" s="152">
        <v>44395</v>
      </c>
      <c r="BN250" s="37"/>
      <c r="BO250" s="118"/>
      <c r="BQ250" s="152">
        <v>44395</v>
      </c>
      <c r="BR250" s="37"/>
      <c r="BS250" s="118"/>
      <c r="BU250" s="152">
        <v>44395</v>
      </c>
      <c r="BV250" s="37"/>
      <c r="BW250" s="118"/>
      <c r="BY250" s="152">
        <v>44395</v>
      </c>
      <c r="BZ250" s="37"/>
      <c r="CA250" s="118"/>
    </row>
    <row r="251" spans="1:79">
      <c r="A251" s="133">
        <v>44392</v>
      </c>
      <c r="C251" s="120"/>
      <c r="D251" s="119"/>
      <c r="E251" s="117">
        <v>44388</v>
      </c>
      <c r="F251" s="37"/>
      <c r="G251" s="37"/>
      <c r="H251" s="119"/>
      <c r="I251" s="80">
        <v>44384</v>
      </c>
      <c r="J251" s="120">
        <v>3</v>
      </c>
      <c r="K251" s="80"/>
      <c r="N251" s="117">
        <v>44380</v>
      </c>
      <c r="O251" s="37"/>
      <c r="P251" s="37"/>
      <c r="Q251" s="119"/>
      <c r="R251" s="79">
        <v>3</v>
      </c>
      <c r="S251" s="134"/>
      <c r="U251" s="156">
        <v>44392</v>
      </c>
      <c r="W251" s="80"/>
      <c r="X251" s="119"/>
      <c r="Y251" s="119">
        <v>44392</v>
      </c>
      <c r="AA251" s="80"/>
      <c r="AC251" s="118">
        <v>44389</v>
      </c>
      <c r="AD251" s="79">
        <v>3</v>
      </c>
      <c r="AE251" s="118"/>
      <c r="AG251" s="117">
        <v>44387</v>
      </c>
      <c r="AH251" s="37"/>
      <c r="AI251" s="118"/>
      <c r="AK251" s="121" t="s">
        <v>85</v>
      </c>
      <c r="AL251" s="121">
        <f>COUNTA(AL237:AL250)</f>
        <v>10</v>
      </c>
      <c r="AM251" s="158">
        <f>IF(AL251&lt;=$U$45,1,AL251/$U$45)</f>
        <v>1</v>
      </c>
      <c r="AO251" s="154">
        <v>44396</v>
      </c>
      <c r="AP251" s="79">
        <v>29</v>
      </c>
      <c r="AQ251" s="118"/>
      <c r="AS251" s="154">
        <v>44396</v>
      </c>
      <c r="AT251" s="79">
        <v>57</v>
      </c>
      <c r="AU251" s="118"/>
      <c r="AW251" s="154">
        <v>44396</v>
      </c>
      <c r="AX251" s="79">
        <v>85</v>
      </c>
      <c r="AY251" s="118"/>
      <c r="BA251" s="154">
        <v>44396</v>
      </c>
      <c r="BB251" s="79">
        <v>113</v>
      </c>
      <c r="BC251" s="118"/>
      <c r="BE251" s="154">
        <v>44396</v>
      </c>
      <c r="BF251" s="79">
        <v>138</v>
      </c>
      <c r="BG251" s="118"/>
      <c r="BI251" s="154">
        <v>44396</v>
      </c>
      <c r="BJ251" s="79">
        <v>29</v>
      </c>
      <c r="BK251" s="118"/>
      <c r="BM251" s="154">
        <v>44396</v>
      </c>
      <c r="BN251" s="79">
        <v>57</v>
      </c>
      <c r="BO251" s="118"/>
      <c r="BQ251" s="154">
        <v>44396</v>
      </c>
      <c r="BR251" s="79">
        <v>85</v>
      </c>
      <c r="BS251" s="118"/>
      <c r="BU251" s="154">
        <v>44396</v>
      </c>
      <c r="BV251" s="79">
        <v>113</v>
      </c>
      <c r="BW251" s="118"/>
      <c r="BY251" s="154">
        <v>44396</v>
      </c>
      <c r="BZ251" s="79">
        <v>138</v>
      </c>
      <c r="CA251" s="118"/>
    </row>
    <row r="252" spans="1:79">
      <c r="A252" s="133">
        <v>44393</v>
      </c>
      <c r="C252" s="120"/>
      <c r="E252" s="80">
        <v>44389</v>
      </c>
      <c r="F252" s="120">
        <v>1</v>
      </c>
      <c r="G252" s="80"/>
      <c r="I252" s="119">
        <v>44385</v>
      </c>
      <c r="K252" s="80"/>
      <c r="N252" s="117">
        <v>44381</v>
      </c>
      <c r="O252" s="37"/>
      <c r="P252" s="37"/>
      <c r="R252" s="79">
        <v>4</v>
      </c>
      <c r="S252" s="134"/>
      <c r="U252" s="156">
        <v>44393</v>
      </c>
      <c r="W252" s="80"/>
      <c r="Y252" s="119">
        <v>44393</v>
      </c>
      <c r="AA252" s="80"/>
      <c r="AC252" s="118">
        <v>44390</v>
      </c>
      <c r="AD252" s="79">
        <v>4</v>
      </c>
      <c r="AE252" s="118"/>
      <c r="AG252" s="117">
        <v>44388</v>
      </c>
      <c r="AH252" s="37"/>
      <c r="AI252" s="118"/>
      <c r="AK252" s="119">
        <v>44385</v>
      </c>
      <c r="AL252" s="146">
        <v>1</v>
      </c>
      <c r="AM252" s="162"/>
      <c r="AO252" s="156">
        <v>44397</v>
      </c>
      <c r="AQ252" s="118"/>
      <c r="AR252" s="119"/>
      <c r="AS252" s="156">
        <v>44397</v>
      </c>
      <c r="AT252">
        <v>58</v>
      </c>
      <c r="AU252" s="118"/>
      <c r="AW252" s="156">
        <v>44397</v>
      </c>
      <c r="AX252">
        <v>86</v>
      </c>
      <c r="AY252" s="118"/>
      <c r="BA252" s="156">
        <v>44397</v>
      </c>
      <c r="BB252" s="79">
        <v>114</v>
      </c>
      <c r="BC252" s="118"/>
      <c r="BE252" s="156">
        <v>44397</v>
      </c>
      <c r="BF252" s="79">
        <v>139</v>
      </c>
      <c r="BG252" s="118"/>
      <c r="BI252" s="156">
        <v>44397</v>
      </c>
      <c r="BK252" s="118"/>
      <c r="BL252" s="119"/>
      <c r="BM252" s="156">
        <v>44397</v>
      </c>
      <c r="BN252">
        <v>58</v>
      </c>
      <c r="BO252" s="118"/>
      <c r="BQ252" s="156">
        <v>44397</v>
      </c>
      <c r="BR252">
        <v>86</v>
      </c>
      <c r="BS252" s="118"/>
      <c r="BU252" s="156">
        <v>44397</v>
      </c>
      <c r="BV252" s="79">
        <v>114</v>
      </c>
      <c r="BW252" s="118"/>
      <c r="BY252" s="156">
        <v>44397</v>
      </c>
      <c r="BZ252" s="79">
        <v>139</v>
      </c>
      <c r="CA252" s="118"/>
    </row>
    <row r="253" spans="1:79">
      <c r="A253" s="129">
        <v>44394</v>
      </c>
      <c r="B253" s="37"/>
      <c r="C253" s="120"/>
      <c r="E253" s="80">
        <v>44390</v>
      </c>
      <c r="F253" s="120">
        <v>2</v>
      </c>
      <c r="G253" s="80"/>
      <c r="I253" s="119">
        <v>44386</v>
      </c>
      <c r="K253" s="80"/>
      <c r="N253" s="80">
        <v>44382</v>
      </c>
      <c r="O253" s="120">
        <v>2</v>
      </c>
      <c r="P253" s="120">
        <v>1</v>
      </c>
      <c r="R253" s="79">
        <v>5</v>
      </c>
      <c r="S253" s="134"/>
      <c r="U253" s="152">
        <v>44394</v>
      </c>
      <c r="V253" s="37"/>
      <c r="W253" s="80"/>
      <c r="Y253" s="117">
        <v>44394</v>
      </c>
      <c r="Z253" s="37"/>
      <c r="AA253" s="80"/>
      <c r="AC253" s="118">
        <v>44391</v>
      </c>
      <c r="AD253" s="79">
        <v>5</v>
      </c>
      <c r="AE253" s="118"/>
      <c r="AG253" s="118">
        <v>44389</v>
      </c>
      <c r="AH253" s="79">
        <v>8</v>
      </c>
      <c r="AI253" s="118"/>
      <c r="AK253" s="119">
        <v>44386</v>
      </c>
      <c r="AL253">
        <v>2</v>
      </c>
      <c r="AM253" s="148"/>
      <c r="AO253" s="152">
        <v>44398</v>
      </c>
      <c r="AP253" s="37"/>
      <c r="AQ253" s="118"/>
      <c r="AS253" s="152">
        <v>44398</v>
      </c>
      <c r="AT253" s="37"/>
      <c r="AU253" s="118"/>
      <c r="AW253" s="152">
        <v>44398</v>
      </c>
      <c r="AX253" s="37">
        <v>87</v>
      </c>
      <c r="AY253" s="118"/>
      <c r="BA253" s="152">
        <v>44398</v>
      </c>
      <c r="BB253" s="37"/>
      <c r="BC253" s="118"/>
      <c r="BE253" s="152">
        <v>44398</v>
      </c>
      <c r="BF253" s="37"/>
      <c r="BG253" s="118"/>
      <c r="BI253" s="152">
        <v>44398</v>
      </c>
      <c r="BJ253" s="37"/>
      <c r="BK253" s="118"/>
      <c r="BM253" s="152">
        <v>44398</v>
      </c>
      <c r="BN253" s="37"/>
      <c r="BO253" s="118"/>
      <c r="BQ253" s="152">
        <v>44398</v>
      </c>
      <c r="BR253" s="37">
        <v>87</v>
      </c>
      <c r="BS253" s="118"/>
      <c r="BU253" s="152">
        <v>44398</v>
      </c>
      <c r="BV253" s="37"/>
      <c r="BW253" s="118"/>
      <c r="BY253" s="152">
        <v>44398</v>
      </c>
      <c r="BZ253" s="37"/>
      <c r="CA253" s="118"/>
    </row>
    <row r="254" spans="1:79">
      <c r="A254" s="129">
        <v>44395</v>
      </c>
      <c r="B254" s="37"/>
      <c r="C254" s="120"/>
      <c r="E254" s="119">
        <v>44391</v>
      </c>
      <c r="G254" s="80"/>
      <c r="I254" s="117">
        <v>44387</v>
      </c>
      <c r="J254" s="37"/>
      <c r="K254" s="80"/>
      <c r="L254" s="37"/>
      <c r="M254" s="37"/>
      <c r="N254" s="80">
        <v>44383</v>
      </c>
      <c r="O254" s="120">
        <v>3</v>
      </c>
      <c r="P254" s="120">
        <v>2</v>
      </c>
      <c r="R254" s="37"/>
      <c r="S254" s="130"/>
      <c r="U254" s="152">
        <v>44395</v>
      </c>
      <c r="V254" s="37"/>
      <c r="W254" s="80"/>
      <c r="Y254" s="117">
        <v>44395</v>
      </c>
      <c r="Z254" s="37"/>
      <c r="AA254" s="80"/>
      <c r="AC254" s="119">
        <v>44392</v>
      </c>
      <c r="AE254" s="118"/>
      <c r="AG254" s="118">
        <v>44390</v>
      </c>
      <c r="AH254" s="79">
        <v>9</v>
      </c>
      <c r="AI254" s="118"/>
      <c r="AK254" s="117">
        <v>44387</v>
      </c>
      <c r="AL254" s="37"/>
      <c r="AM254" s="148"/>
      <c r="AO254" s="156">
        <v>44399</v>
      </c>
      <c r="AQ254" s="118"/>
      <c r="AS254" s="156">
        <v>44399</v>
      </c>
      <c r="AU254" s="118"/>
      <c r="AW254" s="156">
        <v>44399</v>
      </c>
      <c r="AY254" s="118"/>
      <c r="BA254" s="156">
        <v>44399</v>
      </c>
      <c r="BB254">
        <v>115</v>
      </c>
      <c r="BC254" s="118"/>
      <c r="BE254" s="156">
        <v>44399</v>
      </c>
      <c r="BF254">
        <v>140</v>
      </c>
      <c r="BG254" s="118"/>
      <c r="BI254" s="156">
        <v>44399</v>
      </c>
      <c r="BK254" s="118"/>
      <c r="BM254" s="156">
        <v>44399</v>
      </c>
      <c r="BO254" s="118"/>
      <c r="BQ254" s="156">
        <v>44399</v>
      </c>
      <c r="BS254" s="118"/>
      <c r="BU254" s="156">
        <v>44399</v>
      </c>
      <c r="BV254">
        <v>115</v>
      </c>
      <c r="BW254" s="118"/>
      <c r="BY254" s="156">
        <v>44399</v>
      </c>
      <c r="BZ254">
        <v>140</v>
      </c>
      <c r="CA254" s="118"/>
    </row>
    <row r="255" spans="1:79">
      <c r="A255" s="138">
        <v>44396</v>
      </c>
      <c r="B255" s="120">
        <v>5</v>
      </c>
      <c r="C255" s="120"/>
      <c r="E255" s="119">
        <v>44392</v>
      </c>
      <c r="G255" s="80"/>
      <c r="I255" s="117">
        <v>44388</v>
      </c>
      <c r="J255" s="37"/>
      <c r="K255" s="80"/>
      <c r="L255" s="37"/>
      <c r="M255" s="37"/>
      <c r="N255" s="80">
        <v>44384</v>
      </c>
      <c r="O255" s="120">
        <v>4</v>
      </c>
      <c r="P255" s="120">
        <v>3</v>
      </c>
      <c r="R255" s="37"/>
      <c r="S255" s="130"/>
      <c r="U255" s="161">
        <v>44396</v>
      </c>
      <c r="V255" s="120">
        <v>5</v>
      </c>
      <c r="W255" s="80"/>
      <c r="Y255" s="80">
        <v>44396</v>
      </c>
      <c r="Z255" s="120">
        <v>9</v>
      </c>
      <c r="AA255" s="80"/>
      <c r="AC255" s="119">
        <v>44393</v>
      </c>
      <c r="AE255" s="118"/>
      <c r="AG255" s="118">
        <v>44391</v>
      </c>
      <c r="AH255" s="79">
        <v>10</v>
      </c>
      <c r="AI255" s="118"/>
      <c r="AK255" s="117">
        <v>44388</v>
      </c>
      <c r="AL255" s="37"/>
      <c r="AM255" s="148"/>
      <c r="AO255" s="156">
        <v>44400</v>
      </c>
      <c r="AQ255" s="118"/>
      <c r="AS255" s="156">
        <v>44400</v>
      </c>
      <c r="AU255" s="118"/>
      <c r="AW255" s="156">
        <v>44400</v>
      </c>
      <c r="AY255" s="118"/>
      <c r="BA255" s="156">
        <v>44400</v>
      </c>
      <c r="BB255">
        <v>116</v>
      </c>
      <c r="BC255" s="118"/>
      <c r="BE255" s="156">
        <v>44400</v>
      </c>
      <c r="BF255">
        <v>141</v>
      </c>
      <c r="BG255" s="118"/>
      <c r="BI255" s="156">
        <v>44400</v>
      </c>
      <c r="BK255" s="118"/>
      <c r="BM255" s="156">
        <v>44400</v>
      </c>
      <c r="BO255" s="118"/>
      <c r="BQ255" s="156">
        <v>44400</v>
      </c>
      <c r="BS255" s="118"/>
      <c r="BU255" s="156">
        <v>44400</v>
      </c>
      <c r="BV255">
        <v>116</v>
      </c>
      <c r="BW255" s="118"/>
      <c r="BY255" s="156">
        <v>44400</v>
      </c>
      <c r="BZ255">
        <v>141</v>
      </c>
      <c r="CA255" s="118"/>
    </row>
    <row r="256" spans="1:79">
      <c r="A256" s="133">
        <v>44397</v>
      </c>
      <c r="C256" s="80"/>
      <c r="E256" s="119">
        <v>44393</v>
      </c>
      <c r="G256" s="80"/>
      <c r="I256" s="80">
        <v>44389</v>
      </c>
      <c r="J256" s="120">
        <v>4</v>
      </c>
      <c r="K256" s="80"/>
      <c r="L256" s="119"/>
      <c r="M256" s="119"/>
      <c r="N256" s="80">
        <v>44385</v>
      </c>
      <c r="O256" s="120">
        <v>5</v>
      </c>
      <c r="P256" s="120">
        <v>4</v>
      </c>
      <c r="R256" s="79">
        <v>6</v>
      </c>
      <c r="S256" s="134"/>
      <c r="U256" s="156">
        <v>44397</v>
      </c>
      <c r="W256" s="80"/>
      <c r="Y256" s="80">
        <v>44397</v>
      </c>
      <c r="Z256" s="120">
        <v>10</v>
      </c>
      <c r="AA256" s="80"/>
      <c r="AC256" s="117">
        <v>44394</v>
      </c>
      <c r="AD256" s="37"/>
      <c r="AE256" s="118"/>
      <c r="AG256" s="121" t="s">
        <v>85</v>
      </c>
      <c r="AH256" s="121">
        <f>COUNTA(AH240:AH255)</f>
        <v>10</v>
      </c>
      <c r="AI256" s="122">
        <f>IF(AH256&lt;=$U$45,1,AH256/$U$45)</f>
        <v>1</v>
      </c>
      <c r="AK256" s="118">
        <v>44389</v>
      </c>
      <c r="AL256" s="146">
        <v>3</v>
      </c>
      <c r="AM256" s="162"/>
      <c r="AO256" s="152">
        <v>44401</v>
      </c>
      <c r="AP256" s="37"/>
      <c r="AQ256" s="118"/>
      <c r="AS256" s="152">
        <v>44401</v>
      </c>
      <c r="AT256" s="37"/>
      <c r="AU256" s="118"/>
      <c r="AW256" s="152">
        <v>44401</v>
      </c>
      <c r="AX256" s="37"/>
      <c r="AY256" s="118"/>
      <c r="BA256" s="152">
        <v>44401</v>
      </c>
      <c r="BB256" s="37"/>
      <c r="BC256" s="118"/>
      <c r="BE256" s="152">
        <v>44401</v>
      </c>
      <c r="BF256" s="37"/>
      <c r="BG256" s="118"/>
      <c r="BI256" s="152">
        <v>44401</v>
      </c>
      <c r="BJ256" s="37"/>
      <c r="BK256" s="118"/>
      <c r="BM256" s="152">
        <v>44401</v>
      </c>
      <c r="BN256" s="37"/>
      <c r="BO256" s="118"/>
      <c r="BQ256" s="152">
        <v>44401</v>
      </c>
      <c r="BR256" s="37"/>
      <c r="BS256" s="118"/>
      <c r="BU256" s="152">
        <v>44401</v>
      </c>
      <c r="BV256" s="37"/>
      <c r="BW256" s="118"/>
      <c r="BY256" s="152">
        <v>44401</v>
      </c>
      <c r="BZ256" s="37"/>
      <c r="CA256" s="118"/>
    </row>
    <row r="257" spans="1:79">
      <c r="A257" s="136" t="s">
        <v>85</v>
      </c>
      <c r="B257" s="121">
        <f>COUNTA(B227:B256)</f>
        <v>5</v>
      </c>
      <c r="C257" s="122">
        <f>IF(B257&lt;=$A$45,1,B257/$A$45)</f>
        <v>1</v>
      </c>
      <c r="D257" s="119"/>
      <c r="E257" s="117">
        <v>44394</v>
      </c>
      <c r="F257" s="37"/>
      <c r="G257" s="80"/>
      <c r="H257" s="119"/>
      <c r="I257" s="80">
        <v>44390</v>
      </c>
      <c r="J257" s="120">
        <v>5</v>
      </c>
      <c r="K257" s="80"/>
      <c r="L257" s="119"/>
      <c r="M257" s="119"/>
      <c r="N257" s="119">
        <v>44386</v>
      </c>
      <c r="Q257" s="119"/>
      <c r="R257" s="120">
        <v>1</v>
      </c>
      <c r="S257" s="135"/>
      <c r="U257" s="160" t="s">
        <v>85</v>
      </c>
      <c r="V257" s="121">
        <f>COUNTA(V227:V256)</f>
        <v>5</v>
      </c>
      <c r="W257" s="122">
        <f>IF(V257&lt;=$U$45,1,V257/$U$45)</f>
        <v>1</v>
      </c>
      <c r="X257" s="119"/>
      <c r="Y257" s="121" t="s">
        <v>85</v>
      </c>
      <c r="Z257" s="121">
        <f>COUNTA(Z227:Z256)</f>
        <v>10</v>
      </c>
      <c r="AA257" s="122">
        <f>IF(Z257&lt;=$U$45,1,Z257/$U$45)</f>
        <v>1</v>
      </c>
      <c r="AC257" s="117">
        <v>44395</v>
      </c>
      <c r="AD257" s="37"/>
      <c r="AE257" s="118"/>
      <c r="AG257" s="118">
        <v>44392</v>
      </c>
      <c r="AH257" s="79">
        <v>1</v>
      </c>
      <c r="AI257" s="79"/>
      <c r="AK257" s="119">
        <v>44390</v>
      </c>
      <c r="AL257" s="146">
        <v>4</v>
      </c>
      <c r="AM257" s="162"/>
      <c r="AO257" s="152">
        <v>44402</v>
      </c>
      <c r="AP257" s="37"/>
      <c r="AQ257" s="118"/>
      <c r="AS257" s="152">
        <v>44402</v>
      </c>
      <c r="AT257" s="37"/>
      <c r="AU257" s="118"/>
      <c r="AW257" s="152">
        <v>44402</v>
      </c>
      <c r="AX257" s="37"/>
      <c r="AY257" s="118"/>
      <c r="BA257" s="152">
        <v>44402</v>
      </c>
      <c r="BB257" s="37"/>
      <c r="BC257" s="118"/>
      <c r="BE257" s="152">
        <v>44402</v>
      </c>
      <c r="BF257" s="37"/>
      <c r="BG257" s="118"/>
      <c r="BI257" s="152">
        <v>44402</v>
      </c>
      <c r="BJ257" s="37"/>
      <c r="BK257" s="118"/>
      <c r="BM257" s="152">
        <v>44402</v>
      </c>
      <c r="BN257" s="37"/>
      <c r="BO257" s="118"/>
      <c r="BQ257" s="152">
        <v>44402</v>
      </c>
      <c r="BR257" s="37"/>
      <c r="BS257" s="118"/>
      <c r="BU257" s="152">
        <v>44402</v>
      </c>
      <c r="BV257" s="37"/>
      <c r="BW257" s="118"/>
      <c r="BY257" s="152">
        <v>44402</v>
      </c>
      <c r="BZ257" s="37"/>
      <c r="CA257" s="118"/>
    </row>
    <row r="258" spans="1:79">
      <c r="A258" s="129">
        <v>44398</v>
      </c>
      <c r="B258" s="37"/>
      <c r="C258" s="37"/>
      <c r="E258" s="117">
        <v>44395</v>
      </c>
      <c r="F258" s="37"/>
      <c r="G258" s="80"/>
      <c r="I258" s="80">
        <v>44391</v>
      </c>
      <c r="J258" s="120">
        <v>6</v>
      </c>
      <c r="K258" s="80"/>
      <c r="L258" s="37"/>
      <c r="M258" s="37"/>
      <c r="N258" s="117">
        <v>44387</v>
      </c>
      <c r="O258" s="37"/>
      <c r="P258" s="37"/>
      <c r="R258" s="37"/>
      <c r="S258" s="130"/>
      <c r="U258" s="152">
        <v>44398</v>
      </c>
      <c r="V258" s="37"/>
      <c r="Y258" s="117">
        <v>44398</v>
      </c>
      <c r="Z258" s="37"/>
      <c r="AA258" s="37"/>
      <c r="AC258" s="118">
        <v>44396</v>
      </c>
      <c r="AD258" s="79">
        <v>6</v>
      </c>
      <c r="AE258" s="118"/>
      <c r="AG258" s="119">
        <v>44393</v>
      </c>
      <c r="AI258" s="118"/>
      <c r="AK258" s="119">
        <v>44391</v>
      </c>
      <c r="AL258" s="146">
        <v>5</v>
      </c>
      <c r="AM258" s="162"/>
      <c r="AO258" s="154">
        <v>44403</v>
      </c>
      <c r="AP258" s="79">
        <v>1</v>
      </c>
      <c r="AQ258" s="118"/>
      <c r="AR258" s="119"/>
      <c r="AS258" s="154">
        <v>44403</v>
      </c>
      <c r="AT258" s="79">
        <v>59</v>
      </c>
      <c r="AU258" s="118"/>
      <c r="AW258" s="154">
        <v>44403</v>
      </c>
      <c r="AX258" s="79">
        <v>88</v>
      </c>
      <c r="AY258" s="118"/>
      <c r="BA258" s="154">
        <v>44403</v>
      </c>
      <c r="BB258" s="79">
        <v>117</v>
      </c>
      <c r="BC258" s="118"/>
      <c r="BE258" s="154">
        <v>44403</v>
      </c>
      <c r="BF258" s="79">
        <v>142</v>
      </c>
      <c r="BG258" s="118"/>
      <c r="BI258" s="154">
        <v>44403</v>
      </c>
      <c r="BJ258" s="79">
        <v>1</v>
      </c>
      <c r="BK258" s="118"/>
      <c r="BL258" s="119"/>
      <c r="BM258" s="154">
        <v>44403</v>
      </c>
      <c r="BN258" s="79">
        <v>59</v>
      </c>
      <c r="BO258" s="118"/>
      <c r="BQ258" s="154">
        <v>44403</v>
      </c>
      <c r="BR258" s="79">
        <v>88</v>
      </c>
      <c r="BS258" s="118"/>
      <c r="BU258" s="154">
        <v>44403</v>
      </c>
      <c r="BV258" s="79">
        <v>117</v>
      </c>
      <c r="BW258" s="118"/>
      <c r="BY258" s="154">
        <v>44403</v>
      </c>
      <c r="BZ258" s="79">
        <v>142</v>
      </c>
      <c r="CA258" s="118"/>
    </row>
    <row r="259" spans="1:79">
      <c r="A259" s="133">
        <v>44399</v>
      </c>
      <c r="E259" s="80">
        <v>44396</v>
      </c>
      <c r="F259" s="120">
        <v>3</v>
      </c>
      <c r="G259" s="80"/>
      <c r="I259" s="121" t="s">
        <v>85</v>
      </c>
      <c r="J259" s="121">
        <f>COUNTA(J249:J258)</f>
        <v>6</v>
      </c>
      <c r="K259" s="122">
        <f>IF(J259&lt;=$A$45,1,J259/$A$45)</f>
        <v>1</v>
      </c>
      <c r="N259" s="117">
        <v>44388</v>
      </c>
      <c r="O259" s="37"/>
      <c r="P259" s="37"/>
      <c r="R259" s="120">
        <v>2</v>
      </c>
      <c r="S259" s="125"/>
      <c r="U259" s="156">
        <v>44399</v>
      </c>
      <c r="Y259" s="119">
        <v>44399</v>
      </c>
      <c r="AC259" s="118">
        <v>44397</v>
      </c>
      <c r="AD259" s="79">
        <v>7</v>
      </c>
      <c r="AE259" s="118"/>
      <c r="AG259" s="117">
        <v>44394</v>
      </c>
      <c r="AH259" s="37"/>
      <c r="AI259" s="118"/>
      <c r="AK259" s="119">
        <v>44392</v>
      </c>
      <c r="AL259" s="146">
        <v>6</v>
      </c>
      <c r="AM259" s="162"/>
      <c r="AO259" s="156">
        <v>44404</v>
      </c>
      <c r="AQ259" s="118"/>
      <c r="AS259" s="156">
        <v>44404</v>
      </c>
      <c r="AT259">
        <v>60</v>
      </c>
      <c r="AU259" s="118"/>
      <c r="AW259" s="156">
        <v>44404</v>
      </c>
      <c r="AX259">
        <v>89</v>
      </c>
      <c r="AY259" s="118"/>
      <c r="BA259" s="156">
        <v>44404</v>
      </c>
      <c r="BB259" s="79">
        <v>118</v>
      </c>
      <c r="BC259" s="118"/>
      <c r="BE259" s="156">
        <v>44404</v>
      </c>
      <c r="BF259" s="79">
        <v>143</v>
      </c>
      <c r="BG259" s="118"/>
      <c r="BI259" s="156">
        <v>44404</v>
      </c>
      <c r="BK259" s="118"/>
      <c r="BM259" s="156">
        <v>44404</v>
      </c>
      <c r="BN259">
        <v>60</v>
      </c>
      <c r="BO259" s="118"/>
      <c r="BQ259" s="156">
        <v>44404</v>
      </c>
      <c r="BR259">
        <v>89</v>
      </c>
      <c r="BS259" s="118"/>
      <c r="BU259" s="156">
        <v>44404</v>
      </c>
      <c r="BV259" s="79">
        <v>118</v>
      </c>
      <c r="BW259" s="118"/>
      <c r="BY259" s="156">
        <v>44404</v>
      </c>
      <c r="BZ259" s="79">
        <v>143</v>
      </c>
      <c r="CA259" s="118"/>
    </row>
    <row r="260" spans="1:79">
      <c r="A260" s="133">
        <v>44400</v>
      </c>
      <c r="E260" s="80">
        <v>44397</v>
      </c>
      <c r="F260" s="120">
        <v>4</v>
      </c>
      <c r="G260" s="80"/>
      <c r="I260" s="119">
        <v>44392</v>
      </c>
      <c r="N260" s="80">
        <v>44389</v>
      </c>
      <c r="O260" s="120">
        <v>6</v>
      </c>
      <c r="P260" s="120">
        <v>1</v>
      </c>
      <c r="R260" s="120">
        <v>3</v>
      </c>
      <c r="S260" s="125"/>
      <c r="U260" s="156">
        <v>44400</v>
      </c>
      <c r="Y260" s="119">
        <v>44400</v>
      </c>
      <c r="AC260" s="117">
        <v>44398</v>
      </c>
      <c r="AD260" s="117"/>
      <c r="AE260" s="118"/>
      <c r="AG260" s="117">
        <v>44395</v>
      </c>
      <c r="AH260" s="37"/>
      <c r="AI260" s="118"/>
      <c r="AK260" s="119">
        <v>44393</v>
      </c>
      <c r="AL260" s="146">
        <v>7</v>
      </c>
      <c r="AM260" s="148"/>
      <c r="AO260" s="156">
        <v>44405</v>
      </c>
      <c r="AQ260" s="118"/>
      <c r="AS260" s="156">
        <v>44405</v>
      </c>
      <c r="AU260" s="118"/>
      <c r="AW260" s="156">
        <v>44405</v>
      </c>
      <c r="AX260">
        <v>90</v>
      </c>
      <c r="AY260" s="118"/>
      <c r="BA260" s="156">
        <v>44405</v>
      </c>
      <c r="BB260" s="79">
        <v>119</v>
      </c>
      <c r="BC260" s="118"/>
      <c r="BE260" s="156">
        <v>44405</v>
      </c>
      <c r="BF260" s="79">
        <v>144</v>
      </c>
      <c r="BG260" s="118"/>
      <c r="BI260" s="156">
        <v>44405</v>
      </c>
      <c r="BK260" s="118"/>
      <c r="BM260" s="156">
        <v>44405</v>
      </c>
      <c r="BO260" s="118"/>
      <c r="BQ260" s="156">
        <v>44405</v>
      </c>
      <c r="BR260">
        <v>90</v>
      </c>
      <c r="BS260" s="118"/>
      <c r="BU260" s="156">
        <v>44405</v>
      </c>
      <c r="BV260" s="79">
        <v>119</v>
      </c>
      <c r="BW260" s="118"/>
      <c r="BY260" s="156">
        <v>44405</v>
      </c>
      <c r="BZ260" s="79">
        <v>144</v>
      </c>
      <c r="CA260" s="118"/>
    </row>
    <row r="261" spans="1:79">
      <c r="A261" s="129">
        <v>44401</v>
      </c>
      <c r="B261" s="37"/>
      <c r="C261" s="37"/>
      <c r="E261" s="117">
        <v>44398</v>
      </c>
      <c r="G261" s="80"/>
      <c r="I261" s="119">
        <v>44393</v>
      </c>
      <c r="L261" s="37"/>
      <c r="M261" s="37"/>
      <c r="N261" s="121" t="s">
        <v>85</v>
      </c>
      <c r="O261" s="121">
        <f>COUNTA(O249:O260)</f>
        <v>6</v>
      </c>
      <c r="P261" s="122">
        <f>IF(O261&lt;=$A$45,1,O261/$A$45)</f>
        <v>1</v>
      </c>
      <c r="R261" s="37"/>
      <c r="S261" s="130"/>
      <c r="U261" s="152">
        <v>44401</v>
      </c>
      <c r="V261" s="37"/>
      <c r="Y261" s="117">
        <v>44401</v>
      </c>
      <c r="Z261" s="37"/>
      <c r="AA261" s="37"/>
      <c r="AC261" s="118">
        <v>44399</v>
      </c>
      <c r="AD261" s="79">
        <v>8</v>
      </c>
      <c r="AE261" s="118"/>
      <c r="AG261" s="118">
        <v>44396</v>
      </c>
      <c r="AH261" s="79">
        <v>2</v>
      </c>
      <c r="AI261" s="118"/>
      <c r="AK261" s="117">
        <v>44394</v>
      </c>
      <c r="AL261" s="37"/>
      <c r="AM261" s="148"/>
      <c r="AO261" s="156">
        <v>44406</v>
      </c>
      <c r="AQ261" s="118"/>
      <c r="AS261" s="156">
        <v>44406</v>
      </c>
      <c r="AU261" s="118"/>
      <c r="AW261" s="156">
        <v>44406</v>
      </c>
      <c r="AY261" s="118"/>
      <c r="BA261" s="156">
        <v>44406</v>
      </c>
      <c r="BB261" s="79">
        <v>120</v>
      </c>
      <c r="BC261" s="118"/>
      <c r="BE261" s="156">
        <v>44406</v>
      </c>
      <c r="BF261" s="79">
        <v>145</v>
      </c>
      <c r="BG261" s="118"/>
      <c r="BI261" s="156">
        <v>44406</v>
      </c>
      <c r="BK261" s="118"/>
      <c r="BM261" s="156">
        <v>44406</v>
      </c>
      <c r="BO261" s="118"/>
      <c r="BQ261" s="156">
        <v>44406</v>
      </c>
      <c r="BS261" s="118"/>
      <c r="BU261" s="156">
        <v>44406</v>
      </c>
      <c r="BV261" s="79">
        <v>120</v>
      </c>
      <c r="BW261" s="118"/>
      <c r="BY261" s="156">
        <v>44406</v>
      </c>
      <c r="BZ261" s="79">
        <v>145</v>
      </c>
      <c r="CA261" s="118"/>
    </row>
    <row r="262" spans="1:79">
      <c r="A262" s="129">
        <v>44402</v>
      </c>
      <c r="B262" s="37"/>
      <c r="C262" s="37"/>
      <c r="E262" s="119">
        <v>44399</v>
      </c>
      <c r="G262" s="80"/>
      <c r="I262" s="117">
        <v>44394</v>
      </c>
      <c r="J262" s="37"/>
      <c r="K262" s="37"/>
      <c r="L262" s="37"/>
      <c r="M262" s="37"/>
      <c r="N262" s="118">
        <v>44390</v>
      </c>
      <c r="O262" s="79">
        <v>1</v>
      </c>
      <c r="P262" s="79">
        <v>2</v>
      </c>
      <c r="R262" s="37"/>
      <c r="S262" s="130"/>
      <c r="U262" s="152">
        <v>44402</v>
      </c>
      <c r="V262" s="37"/>
      <c r="Y262" s="117">
        <v>44402</v>
      </c>
      <c r="Z262" s="37"/>
      <c r="AA262" s="37"/>
      <c r="AC262" s="119">
        <v>44400</v>
      </c>
      <c r="AE262" s="118"/>
      <c r="AG262" s="118">
        <v>44397</v>
      </c>
      <c r="AH262" s="79">
        <v>3</v>
      </c>
      <c r="AI262" s="118"/>
      <c r="AK262" s="117">
        <v>44395</v>
      </c>
      <c r="AL262" s="37"/>
      <c r="AM262" s="148"/>
      <c r="AO262" s="156">
        <v>44407</v>
      </c>
      <c r="AQ262" s="118"/>
      <c r="AS262" s="156">
        <v>44407</v>
      </c>
      <c r="AU262" s="118"/>
      <c r="AW262" s="156">
        <v>44407</v>
      </c>
      <c r="AY262" s="118"/>
      <c r="BA262" s="156">
        <v>44407</v>
      </c>
      <c r="BC262" s="118"/>
      <c r="BE262" s="156">
        <v>44407</v>
      </c>
      <c r="BF262" s="79">
        <v>146</v>
      </c>
      <c r="BG262" s="118"/>
      <c r="BI262" s="156">
        <v>44407</v>
      </c>
      <c r="BK262" s="118"/>
      <c r="BM262" s="156">
        <v>44407</v>
      </c>
      <c r="BO262" s="118"/>
      <c r="BQ262" s="156">
        <v>44407</v>
      </c>
      <c r="BS262" s="118"/>
      <c r="BU262" s="156">
        <v>44407</v>
      </c>
      <c r="BW262" s="118"/>
      <c r="BY262" s="156">
        <v>44407</v>
      </c>
      <c r="BZ262" s="79">
        <v>146</v>
      </c>
      <c r="CA262" s="118"/>
    </row>
    <row r="263" spans="1:79">
      <c r="A263" s="131">
        <v>44403</v>
      </c>
      <c r="B263" s="79">
        <v>1</v>
      </c>
      <c r="C263" s="118">
        <f>EDATE($A263,1)-1</f>
        <v>44433</v>
      </c>
      <c r="D263" s="119"/>
      <c r="E263" s="119">
        <v>44400</v>
      </c>
      <c r="G263" s="80"/>
      <c r="H263" s="119"/>
      <c r="I263" s="117">
        <v>44395</v>
      </c>
      <c r="J263" s="37"/>
      <c r="K263" s="37"/>
      <c r="N263" s="118">
        <v>44391</v>
      </c>
      <c r="O263" s="79">
        <v>2</v>
      </c>
      <c r="P263" s="79">
        <v>3</v>
      </c>
      <c r="Q263" s="119"/>
      <c r="R263" s="120">
        <v>4</v>
      </c>
      <c r="S263" s="125"/>
      <c r="U263" s="154">
        <v>44403</v>
      </c>
      <c r="V263" s="79">
        <v>1</v>
      </c>
      <c r="W263" s="118">
        <f>EDATE($U263,1)-$W$49</f>
        <v>44433</v>
      </c>
      <c r="X263" s="119"/>
      <c r="Y263" s="118">
        <v>44403</v>
      </c>
      <c r="Z263" s="79">
        <v>1</v>
      </c>
      <c r="AA263" s="118">
        <f>EDATE(Y263,1)-1</f>
        <v>44433</v>
      </c>
      <c r="AC263" s="117">
        <v>44401</v>
      </c>
      <c r="AD263" s="37"/>
      <c r="AE263" s="118"/>
      <c r="AG263" s="117">
        <v>44398</v>
      </c>
      <c r="AH263" s="117"/>
      <c r="AI263" s="118"/>
      <c r="AK263" s="118">
        <v>44396</v>
      </c>
      <c r="AL263" s="79">
        <v>8</v>
      </c>
      <c r="AM263" s="157"/>
      <c r="AO263" s="152">
        <v>44408</v>
      </c>
      <c r="AP263" s="37"/>
      <c r="AQ263" s="118"/>
      <c r="AS263" s="152">
        <v>44408</v>
      </c>
      <c r="AT263" s="37"/>
      <c r="AU263" s="118"/>
      <c r="AW263" s="152">
        <v>44408</v>
      </c>
      <c r="AX263" s="37"/>
      <c r="AY263" s="118"/>
      <c r="BA263" s="152">
        <v>44408</v>
      </c>
      <c r="BB263" s="37"/>
      <c r="BC263" s="118"/>
      <c r="BE263" s="152">
        <v>44408</v>
      </c>
      <c r="BF263" s="37"/>
      <c r="BG263" s="118"/>
      <c r="BI263" s="152">
        <v>44408</v>
      </c>
      <c r="BJ263" s="37"/>
      <c r="BK263" s="118"/>
      <c r="BM263" s="152">
        <v>44408</v>
      </c>
      <c r="BN263" s="37"/>
      <c r="BO263" s="118"/>
      <c r="BQ263" s="152">
        <v>44408</v>
      </c>
      <c r="BR263" s="37"/>
      <c r="BS263" s="118"/>
      <c r="BU263" s="152">
        <v>44408</v>
      </c>
      <c r="BV263" s="37"/>
      <c r="BW263" s="118"/>
      <c r="BY263" s="152">
        <v>44408</v>
      </c>
      <c r="BZ263" s="37"/>
      <c r="CA263" s="118"/>
    </row>
    <row r="264" spans="1:79">
      <c r="A264" s="133">
        <v>44404</v>
      </c>
      <c r="C264" s="118"/>
      <c r="D264" s="119"/>
      <c r="E264" s="117">
        <v>44401</v>
      </c>
      <c r="F264" s="37"/>
      <c r="G264" s="80"/>
      <c r="H264" s="119"/>
      <c r="I264" s="118">
        <v>44396</v>
      </c>
      <c r="J264" s="79">
        <v>1</v>
      </c>
      <c r="K264" s="118"/>
      <c r="L264" s="119"/>
      <c r="M264" s="119"/>
      <c r="N264" s="118">
        <v>44392</v>
      </c>
      <c r="O264" s="79">
        <v>3</v>
      </c>
      <c r="P264" s="79">
        <v>4</v>
      </c>
      <c r="Q264" s="119"/>
      <c r="R264" s="120">
        <v>5</v>
      </c>
      <c r="S264" s="125"/>
      <c r="U264" s="156">
        <v>44404</v>
      </c>
      <c r="W264" s="79"/>
      <c r="Y264" s="118">
        <v>44404</v>
      </c>
      <c r="Z264" s="79">
        <v>2</v>
      </c>
      <c r="AA264" s="79"/>
      <c r="AC264" s="117">
        <v>44402</v>
      </c>
      <c r="AD264" s="37"/>
      <c r="AE264" s="118"/>
      <c r="AG264" s="118">
        <v>44399</v>
      </c>
      <c r="AH264" s="79">
        <v>4</v>
      </c>
      <c r="AI264" s="118"/>
      <c r="AK264" s="119">
        <v>44397</v>
      </c>
      <c r="AL264" s="79">
        <v>9</v>
      </c>
      <c r="AM264" s="157"/>
      <c r="AO264" s="152">
        <v>44409</v>
      </c>
      <c r="AP264" s="37"/>
      <c r="AQ264" s="118"/>
      <c r="AR264" s="119"/>
      <c r="AS264" s="152">
        <v>44409</v>
      </c>
      <c r="AT264" s="37"/>
      <c r="AU264" s="118"/>
      <c r="AW264" s="152">
        <v>44409</v>
      </c>
      <c r="AX264" s="37"/>
      <c r="AY264" s="118"/>
      <c r="BA264" s="152">
        <v>44409</v>
      </c>
      <c r="BB264" s="37"/>
      <c r="BC264" s="118"/>
      <c r="BE264" s="152">
        <v>44409</v>
      </c>
      <c r="BF264" s="37"/>
      <c r="BG264" s="118"/>
      <c r="BI264" s="152">
        <v>44409</v>
      </c>
      <c r="BJ264" s="37"/>
      <c r="BK264" s="118"/>
      <c r="BL264" s="119"/>
      <c r="BM264" s="152">
        <v>44409</v>
      </c>
      <c r="BN264" s="37"/>
      <c r="BO264" s="118"/>
      <c r="BQ264" s="152">
        <v>44409</v>
      </c>
      <c r="BR264" s="37"/>
      <c r="BS264" s="118"/>
      <c r="BU264" s="152">
        <v>44409</v>
      </c>
      <c r="BV264" s="37"/>
      <c r="BW264" s="118"/>
      <c r="BY264" s="152">
        <v>44409</v>
      </c>
      <c r="BZ264" s="37"/>
      <c r="CA264" s="118"/>
    </row>
    <row r="265" spans="1:79">
      <c r="A265" s="133">
        <v>44405</v>
      </c>
      <c r="C265" s="79"/>
      <c r="E265" s="117">
        <v>44402</v>
      </c>
      <c r="F265" s="37"/>
      <c r="G265" s="80"/>
      <c r="I265" s="118">
        <v>44397</v>
      </c>
      <c r="J265" s="79">
        <v>2</v>
      </c>
      <c r="K265" s="79"/>
      <c r="N265" s="119">
        <v>44393</v>
      </c>
      <c r="R265" s="120">
        <v>6</v>
      </c>
      <c r="S265" s="125"/>
      <c r="U265" s="156">
        <v>44405</v>
      </c>
      <c r="W265" s="79"/>
      <c r="Y265" s="119">
        <v>44405</v>
      </c>
      <c r="AA265" s="79"/>
      <c r="AC265" s="118">
        <v>44403</v>
      </c>
      <c r="AD265" s="79">
        <v>9</v>
      </c>
      <c r="AE265" s="79"/>
      <c r="AG265" s="118">
        <v>44400</v>
      </c>
      <c r="AH265" s="79">
        <v>5</v>
      </c>
      <c r="AI265" s="118"/>
      <c r="AK265" s="117">
        <v>44398</v>
      </c>
      <c r="AL265" s="79"/>
      <c r="AM265" s="157"/>
      <c r="AO265" s="154">
        <v>44410</v>
      </c>
      <c r="AP265" s="79">
        <v>30</v>
      </c>
      <c r="AQ265" s="118"/>
      <c r="AS265" s="154">
        <v>44410</v>
      </c>
      <c r="AT265" s="79">
        <v>61</v>
      </c>
      <c r="AU265" s="118"/>
      <c r="AW265" s="154">
        <v>44410</v>
      </c>
      <c r="AX265" s="79">
        <v>91</v>
      </c>
      <c r="AY265" s="118"/>
      <c r="BA265" s="154">
        <v>44410</v>
      </c>
      <c r="BB265" s="79">
        <v>121</v>
      </c>
      <c r="BC265" s="118"/>
      <c r="BE265" s="154">
        <v>44410</v>
      </c>
      <c r="BF265" s="79">
        <v>147</v>
      </c>
      <c r="BG265" s="118"/>
      <c r="BI265" s="154">
        <v>44410</v>
      </c>
      <c r="BJ265" s="79">
        <v>30</v>
      </c>
      <c r="BK265" s="118"/>
      <c r="BM265" s="154">
        <v>44410</v>
      </c>
      <c r="BN265" s="79">
        <v>61</v>
      </c>
      <c r="BO265" s="118"/>
      <c r="BQ265" s="154">
        <v>44410</v>
      </c>
      <c r="BR265" s="79">
        <v>91</v>
      </c>
      <c r="BS265" s="118"/>
      <c r="BU265" s="154">
        <v>44410</v>
      </c>
      <c r="BV265" s="79">
        <v>121</v>
      </c>
      <c r="BW265" s="118"/>
      <c r="BY265" s="154">
        <v>44410</v>
      </c>
      <c r="BZ265" s="79">
        <v>147</v>
      </c>
      <c r="CA265" s="118"/>
    </row>
    <row r="266" spans="1:79">
      <c r="A266" s="133">
        <v>44406</v>
      </c>
      <c r="C266" s="118"/>
      <c r="D266" s="119"/>
      <c r="E266" s="80">
        <v>44403</v>
      </c>
      <c r="F266" s="120">
        <v>5</v>
      </c>
      <c r="G266" s="80"/>
      <c r="H266" s="119"/>
      <c r="I266" s="117">
        <v>44398</v>
      </c>
      <c r="J266" s="37"/>
      <c r="K266" s="79"/>
      <c r="L266" s="119"/>
      <c r="M266" s="119"/>
      <c r="N266" s="117">
        <v>44394</v>
      </c>
      <c r="O266" s="37"/>
      <c r="P266" s="37"/>
      <c r="Q266" s="119"/>
      <c r="R266" s="79">
        <v>1</v>
      </c>
      <c r="S266" s="132"/>
      <c r="U266" s="156">
        <v>44406</v>
      </c>
      <c r="W266" s="118"/>
      <c r="X266" s="119"/>
      <c r="Y266" s="119">
        <v>44406</v>
      </c>
      <c r="AA266" s="79"/>
      <c r="AC266" s="118">
        <v>44404</v>
      </c>
      <c r="AD266" s="79">
        <v>10</v>
      </c>
      <c r="AE266" s="79"/>
      <c r="AG266" s="117">
        <v>44401</v>
      </c>
      <c r="AH266" s="37"/>
      <c r="AI266" s="118"/>
      <c r="AK266" s="119">
        <v>44399</v>
      </c>
      <c r="AL266">
        <v>10</v>
      </c>
      <c r="AM266" s="157"/>
      <c r="AO266" s="156">
        <v>44411</v>
      </c>
      <c r="AQ266" s="118"/>
      <c r="AS266" s="156">
        <v>44411</v>
      </c>
      <c r="AT266">
        <v>62</v>
      </c>
      <c r="AU266" s="118"/>
      <c r="AW266" s="156">
        <v>44411</v>
      </c>
      <c r="AX266">
        <v>92</v>
      </c>
      <c r="AY266" s="118"/>
      <c r="BA266" s="156">
        <v>44411</v>
      </c>
      <c r="BB266" s="79">
        <v>122</v>
      </c>
      <c r="BC266" s="118"/>
      <c r="BE266" s="156">
        <v>44411</v>
      </c>
      <c r="BF266" s="79">
        <v>148</v>
      </c>
      <c r="BG266" s="118"/>
      <c r="BI266" s="156">
        <v>44411</v>
      </c>
      <c r="BK266" s="118"/>
      <c r="BM266" s="156">
        <v>44411</v>
      </c>
      <c r="BN266">
        <v>62</v>
      </c>
      <c r="BO266" s="118"/>
      <c r="BQ266" s="156">
        <v>44411</v>
      </c>
      <c r="BR266">
        <v>92</v>
      </c>
      <c r="BS266" s="118"/>
      <c r="BU266" s="156">
        <v>44411</v>
      </c>
      <c r="BV266" s="79">
        <v>122</v>
      </c>
      <c r="BW266" s="118"/>
      <c r="BY266" s="156">
        <v>44411</v>
      </c>
      <c r="BZ266" s="79">
        <v>148</v>
      </c>
      <c r="CA266" s="118"/>
    </row>
    <row r="267" spans="1:79">
      <c r="A267" s="133">
        <v>44407</v>
      </c>
      <c r="C267" s="79"/>
      <c r="E267" s="80">
        <v>44404</v>
      </c>
      <c r="F267" s="120">
        <v>6</v>
      </c>
      <c r="G267" s="80"/>
      <c r="I267" s="118">
        <v>44399</v>
      </c>
      <c r="J267" s="79">
        <v>3</v>
      </c>
      <c r="K267" s="79"/>
      <c r="N267" s="117">
        <v>44395</v>
      </c>
      <c r="O267" s="37"/>
      <c r="P267" s="37"/>
      <c r="R267" s="79">
        <v>2</v>
      </c>
      <c r="S267" s="134"/>
      <c r="U267" s="156">
        <v>44407</v>
      </c>
      <c r="W267" s="79"/>
      <c r="Y267" s="119">
        <v>44407</v>
      </c>
      <c r="AA267" s="79"/>
      <c r="AC267" s="121" t="s">
        <v>85</v>
      </c>
      <c r="AD267" s="121">
        <f>COUNTA(AD245:AD266)</f>
        <v>10</v>
      </c>
      <c r="AE267" s="122">
        <f>IF(AD267&lt;=$U$45,1,AD267/$U$45)</f>
        <v>1</v>
      </c>
      <c r="AG267" s="117">
        <v>44402</v>
      </c>
      <c r="AH267" s="37"/>
      <c r="AI267" s="118"/>
      <c r="AK267" s="121" t="s">
        <v>85</v>
      </c>
      <c r="AL267" s="121">
        <f>COUNTA(AL252:AL266)</f>
        <v>10</v>
      </c>
      <c r="AM267" s="158">
        <f>IF(AL267&lt;=$U$45,1,AL267/$U$45)</f>
        <v>1</v>
      </c>
      <c r="AO267" s="156">
        <v>44412</v>
      </c>
      <c r="AQ267" s="118"/>
      <c r="AR267" s="119"/>
      <c r="AS267" s="156">
        <v>44412</v>
      </c>
      <c r="AU267" s="118"/>
      <c r="AW267" s="156">
        <v>44412</v>
      </c>
      <c r="AX267">
        <v>93</v>
      </c>
      <c r="AY267" s="118"/>
      <c r="BA267" s="156">
        <v>44412</v>
      </c>
      <c r="BB267" s="79">
        <v>123</v>
      </c>
      <c r="BC267" s="118"/>
      <c r="BE267" s="156">
        <v>44412</v>
      </c>
      <c r="BF267" s="79">
        <v>149</v>
      </c>
      <c r="BG267" s="118"/>
      <c r="BI267" s="156">
        <v>44412</v>
      </c>
      <c r="BK267" s="118"/>
      <c r="BL267" s="119"/>
      <c r="BM267" s="156">
        <v>44412</v>
      </c>
      <c r="BO267" s="118"/>
      <c r="BQ267" s="156">
        <v>44412</v>
      </c>
      <c r="BR267">
        <v>93</v>
      </c>
      <c r="BS267" s="118"/>
      <c r="BU267" s="156">
        <v>44412</v>
      </c>
      <c r="BV267" s="79">
        <v>123</v>
      </c>
      <c r="BW267" s="118"/>
      <c r="BY267" s="156">
        <v>44412</v>
      </c>
      <c r="BZ267" s="79">
        <v>149</v>
      </c>
      <c r="CA267" s="118"/>
    </row>
    <row r="268" spans="1:79">
      <c r="A268" s="129">
        <v>44408</v>
      </c>
      <c r="B268" s="37"/>
      <c r="C268" s="79"/>
      <c r="E268" s="121" t="s">
        <v>85</v>
      </c>
      <c r="F268" s="121">
        <f>COUNTA(F252:F267)</f>
        <v>6</v>
      </c>
      <c r="G268" s="122">
        <f>IF(F268&lt;=$A$45,1,F268/$A$45)</f>
        <v>1</v>
      </c>
      <c r="I268" s="119">
        <v>44400</v>
      </c>
      <c r="K268" s="79"/>
      <c r="M268" s="37"/>
      <c r="N268" s="118">
        <v>44396</v>
      </c>
      <c r="O268" s="79">
        <v>4</v>
      </c>
      <c r="P268" s="79">
        <v>1</v>
      </c>
      <c r="R268" s="37"/>
      <c r="S268" s="130"/>
      <c r="U268" s="152">
        <v>44408</v>
      </c>
      <c r="V268" s="37"/>
      <c r="W268" s="79"/>
      <c r="Y268" s="117">
        <v>44408</v>
      </c>
      <c r="Z268" s="37"/>
      <c r="AA268" s="79"/>
      <c r="AC268" s="80">
        <v>44405</v>
      </c>
      <c r="AD268" s="120">
        <v>1</v>
      </c>
      <c r="AE268" s="80"/>
      <c r="AG268" s="118">
        <v>44403</v>
      </c>
      <c r="AH268" s="79">
        <v>6</v>
      </c>
      <c r="AI268" s="118"/>
      <c r="AK268" s="119">
        <v>44400</v>
      </c>
      <c r="AL268" s="79">
        <v>1</v>
      </c>
      <c r="AM268" s="157"/>
      <c r="AO268" s="156">
        <v>44413</v>
      </c>
      <c r="AQ268" s="118"/>
      <c r="AS268" s="156">
        <v>44413</v>
      </c>
      <c r="AU268" s="118"/>
      <c r="AW268" s="156">
        <v>44413</v>
      </c>
      <c r="AY268" s="118"/>
      <c r="BA268" s="156">
        <v>44413</v>
      </c>
      <c r="BB268" s="79">
        <v>124</v>
      </c>
      <c r="BC268" s="118"/>
      <c r="BE268" s="156">
        <v>44413</v>
      </c>
      <c r="BF268" s="79">
        <v>150</v>
      </c>
      <c r="BG268" s="118"/>
      <c r="BI268" s="156">
        <v>44413</v>
      </c>
      <c r="BK268" s="118"/>
      <c r="BM268" s="156">
        <v>44413</v>
      </c>
      <c r="BO268" s="118"/>
      <c r="BQ268" s="156">
        <v>44413</v>
      </c>
      <c r="BS268" s="118"/>
      <c r="BU268" s="156">
        <v>44413</v>
      </c>
      <c r="BV268" s="79">
        <v>124</v>
      </c>
      <c r="BW268" s="118"/>
      <c r="BY268" s="156">
        <v>44413</v>
      </c>
      <c r="BZ268" s="79">
        <v>150</v>
      </c>
      <c r="CA268" s="118"/>
    </row>
    <row r="269" spans="1:79">
      <c r="A269" s="129">
        <v>44409</v>
      </c>
      <c r="B269" s="37"/>
      <c r="C269" s="79"/>
      <c r="E269" s="119">
        <v>44405</v>
      </c>
      <c r="I269" s="117">
        <v>44401</v>
      </c>
      <c r="J269" s="37"/>
      <c r="K269" s="79"/>
      <c r="L269" s="37"/>
      <c r="M269" s="37"/>
      <c r="N269" s="118">
        <v>44397</v>
      </c>
      <c r="O269" s="79">
        <v>5</v>
      </c>
      <c r="P269" s="79">
        <v>2</v>
      </c>
      <c r="R269" s="37"/>
      <c r="S269" s="130"/>
      <c r="U269" s="152">
        <v>44409</v>
      </c>
      <c r="V269" s="37"/>
      <c r="W269" s="79"/>
      <c r="Y269" s="117">
        <v>44409</v>
      </c>
      <c r="Z269" s="37"/>
      <c r="AA269" s="79"/>
      <c r="AC269" s="119">
        <v>44406</v>
      </c>
      <c r="AE269" s="80"/>
      <c r="AG269" s="118">
        <v>44404</v>
      </c>
      <c r="AH269" s="79">
        <v>7</v>
      </c>
      <c r="AI269" s="118"/>
      <c r="AK269" s="117">
        <v>44401</v>
      </c>
      <c r="AL269" s="37"/>
      <c r="AM269" s="157"/>
      <c r="AO269" s="156">
        <v>44414</v>
      </c>
      <c r="AQ269" s="118"/>
      <c r="AS269" s="156">
        <v>44414</v>
      </c>
      <c r="AU269" s="118"/>
      <c r="AW269" s="156">
        <v>44414</v>
      </c>
      <c r="AY269" s="118"/>
      <c r="BA269" s="156">
        <v>44414</v>
      </c>
      <c r="BC269" s="118"/>
      <c r="BE269" s="156">
        <v>44414</v>
      </c>
      <c r="BF269" s="79">
        <v>151</v>
      </c>
      <c r="BG269" s="118"/>
      <c r="BI269" s="156">
        <v>44414</v>
      </c>
      <c r="BK269" s="118"/>
      <c r="BM269" s="156">
        <v>44414</v>
      </c>
      <c r="BO269" s="118"/>
      <c r="BQ269" s="156">
        <v>44414</v>
      </c>
      <c r="BS269" s="118"/>
      <c r="BU269" s="156">
        <v>44414</v>
      </c>
      <c r="BW269" s="118"/>
      <c r="BY269" s="156">
        <v>44414</v>
      </c>
      <c r="BZ269" s="79">
        <v>151</v>
      </c>
      <c r="CA269" s="118"/>
    </row>
    <row r="270" spans="1:79">
      <c r="A270" s="131">
        <v>44410</v>
      </c>
      <c r="B270" s="79">
        <v>2</v>
      </c>
      <c r="C270" s="79"/>
      <c r="E270" s="119">
        <v>44406</v>
      </c>
      <c r="I270" s="117">
        <v>44402</v>
      </c>
      <c r="J270" s="37"/>
      <c r="K270" s="79"/>
      <c r="N270" s="117">
        <v>44398</v>
      </c>
      <c r="O270" s="37"/>
      <c r="P270" s="37"/>
      <c r="R270" s="79">
        <v>3</v>
      </c>
      <c r="S270" s="134"/>
      <c r="U270" s="154">
        <v>44410</v>
      </c>
      <c r="V270" s="79">
        <v>2</v>
      </c>
      <c r="W270" s="79"/>
      <c r="Y270" s="118">
        <v>44410</v>
      </c>
      <c r="Z270" s="79">
        <v>3</v>
      </c>
      <c r="AA270" s="79"/>
      <c r="AC270" s="119">
        <v>44407</v>
      </c>
      <c r="AE270" s="80"/>
      <c r="AG270" s="118">
        <v>44405</v>
      </c>
      <c r="AH270" s="79">
        <v>8</v>
      </c>
      <c r="AI270" s="118"/>
      <c r="AK270" s="117">
        <v>44402</v>
      </c>
      <c r="AL270" s="37"/>
      <c r="AM270" s="157"/>
      <c r="AO270" s="152">
        <v>44415</v>
      </c>
      <c r="AP270" s="37"/>
      <c r="AQ270" s="118"/>
      <c r="AS270" s="152">
        <v>44415</v>
      </c>
      <c r="AT270" s="37"/>
      <c r="AU270" s="118"/>
      <c r="AW270" s="152">
        <v>44415</v>
      </c>
      <c r="AX270" s="37"/>
      <c r="AY270" s="118"/>
      <c r="BA270" s="152">
        <v>44415</v>
      </c>
      <c r="BB270" s="37"/>
      <c r="BC270" s="118"/>
      <c r="BE270" s="152">
        <v>44415</v>
      </c>
      <c r="BF270" s="37"/>
      <c r="BG270" s="118"/>
      <c r="BI270" s="152">
        <v>44415</v>
      </c>
      <c r="BJ270" s="37"/>
      <c r="BK270" s="118"/>
      <c r="BM270" s="152">
        <v>44415</v>
      </c>
      <c r="BN270" s="37"/>
      <c r="BO270" s="118"/>
      <c r="BQ270" s="152">
        <v>44415</v>
      </c>
      <c r="BR270" s="37"/>
      <c r="BS270" s="118"/>
      <c r="BU270" s="152">
        <v>44415</v>
      </c>
      <c r="BV270" s="37"/>
      <c r="BW270" s="118"/>
      <c r="BY270" s="152">
        <v>44415</v>
      </c>
      <c r="BZ270" s="37"/>
      <c r="CA270" s="118"/>
    </row>
    <row r="271" spans="1:79">
      <c r="A271" s="133">
        <v>44411</v>
      </c>
      <c r="C271" s="79"/>
      <c r="E271" s="119">
        <v>44407</v>
      </c>
      <c r="I271" s="118">
        <v>44403</v>
      </c>
      <c r="J271" s="79">
        <v>4</v>
      </c>
      <c r="K271" s="79"/>
      <c r="L271" s="119"/>
      <c r="M271" s="119"/>
      <c r="N271" s="118">
        <v>44399</v>
      </c>
      <c r="O271" s="79">
        <v>6</v>
      </c>
      <c r="P271" s="79">
        <v>3</v>
      </c>
      <c r="R271" s="79">
        <v>4</v>
      </c>
      <c r="S271" s="134"/>
      <c r="U271" s="156">
        <v>44411</v>
      </c>
      <c r="W271" s="79"/>
      <c r="Y271" s="118">
        <v>44411</v>
      </c>
      <c r="Z271" s="79">
        <v>4</v>
      </c>
      <c r="AA271" s="79"/>
      <c r="AC271" s="117">
        <v>44408</v>
      </c>
      <c r="AD271" s="37"/>
      <c r="AE271" s="80"/>
      <c r="AG271" s="118">
        <v>44406</v>
      </c>
      <c r="AH271" s="79">
        <v>9</v>
      </c>
      <c r="AI271" s="118"/>
      <c r="AK271" s="118">
        <v>44403</v>
      </c>
      <c r="AL271" s="79">
        <v>2</v>
      </c>
      <c r="AM271" s="149"/>
      <c r="AO271" s="152">
        <v>44416</v>
      </c>
      <c r="AP271" s="37"/>
      <c r="AQ271" s="118"/>
      <c r="AS271" s="152">
        <v>44416</v>
      </c>
      <c r="AT271" s="37"/>
      <c r="AU271" s="118"/>
      <c r="AW271" s="152">
        <v>44416</v>
      </c>
      <c r="AX271" s="37"/>
      <c r="AY271" s="118"/>
      <c r="BA271" s="152">
        <v>44416</v>
      </c>
      <c r="BB271" s="37"/>
      <c r="BC271" s="118"/>
      <c r="BE271" s="152">
        <v>44416</v>
      </c>
      <c r="BF271" s="37"/>
      <c r="BG271" s="118"/>
      <c r="BI271" s="152">
        <v>44416</v>
      </c>
      <c r="BJ271" s="37"/>
      <c r="BK271" s="118"/>
      <c r="BM271" s="152">
        <v>44416</v>
      </c>
      <c r="BN271" s="37"/>
      <c r="BO271" s="118"/>
      <c r="BQ271" s="152">
        <v>44416</v>
      </c>
      <c r="BR271" s="37"/>
      <c r="BS271" s="118"/>
      <c r="BU271" s="152">
        <v>44416</v>
      </c>
      <c r="BV271" s="37"/>
      <c r="BW271" s="118"/>
      <c r="BY271" s="152">
        <v>44416</v>
      </c>
      <c r="BZ271" s="37"/>
      <c r="CA271" s="118"/>
    </row>
    <row r="272" spans="1:79">
      <c r="A272" s="133">
        <v>44412</v>
      </c>
      <c r="C272" s="79"/>
      <c r="D272" s="72"/>
      <c r="E272" s="117">
        <v>44408</v>
      </c>
      <c r="F272" s="37"/>
      <c r="G272" s="37"/>
      <c r="H272" s="72"/>
      <c r="I272" s="118">
        <v>44404</v>
      </c>
      <c r="J272" s="79">
        <v>5</v>
      </c>
      <c r="K272" s="79"/>
      <c r="L272" s="122"/>
      <c r="M272" s="122"/>
      <c r="N272" s="121" t="s">
        <v>85</v>
      </c>
      <c r="O272" s="121">
        <f>COUNTA(O262:O271)</f>
        <v>6</v>
      </c>
      <c r="P272" s="122">
        <f>IF(O272&lt;=$A$45,1,O272/$A$45)</f>
        <v>1</v>
      </c>
      <c r="Q272" s="72"/>
      <c r="R272" s="121">
        <f>COUNTA(R241:R271)</f>
        <v>21</v>
      </c>
      <c r="S272" s="137">
        <f>IF(R272&lt;=$A$45,1,R272/$A$45)</f>
        <v>3.5</v>
      </c>
      <c r="U272" s="156">
        <v>44412</v>
      </c>
      <c r="W272" s="79"/>
      <c r="X272" s="72"/>
      <c r="Y272" s="119">
        <v>44412</v>
      </c>
      <c r="AA272" s="79"/>
      <c r="AC272" s="117">
        <v>44409</v>
      </c>
      <c r="AD272" s="37"/>
      <c r="AE272" s="80"/>
      <c r="AG272" s="119">
        <v>44407</v>
      </c>
      <c r="AI272" s="118"/>
      <c r="AK272" s="119">
        <v>44404</v>
      </c>
      <c r="AL272" s="79">
        <v>3</v>
      </c>
      <c r="AM272" s="149"/>
      <c r="AO272" s="154">
        <v>44417</v>
      </c>
      <c r="AP272" s="79">
        <v>31</v>
      </c>
      <c r="AQ272" s="118"/>
      <c r="AS272" s="154">
        <v>44417</v>
      </c>
      <c r="AT272" s="79">
        <v>63</v>
      </c>
      <c r="AU272" s="118"/>
      <c r="AW272" s="154">
        <v>44417</v>
      </c>
      <c r="AX272" s="79">
        <v>94</v>
      </c>
      <c r="AY272" s="118"/>
      <c r="BA272" s="154">
        <v>44417</v>
      </c>
      <c r="BB272" s="79">
        <v>125</v>
      </c>
      <c r="BC272" s="118"/>
      <c r="BE272" s="154">
        <v>44417</v>
      </c>
      <c r="BF272" s="79">
        <v>152</v>
      </c>
      <c r="BG272" s="118"/>
      <c r="BI272" s="154">
        <v>44417</v>
      </c>
      <c r="BJ272" s="79">
        <v>31</v>
      </c>
      <c r="BK272" s="118"/>
      <c r="BM272" s="154">
        <v>44417</v>
      </c>
      <c r="BN272" s="79">
        <v>63</v>
      </c>
      <c r="BO272" s="118"/>
      <c r="BQ272" s="154">
        <v>44417</v>
      </c>
      <c r="BR272" s="79">
        <v>94</v>
      </c>
      <c r="BS272" s="118"/>
      <c r="BU272" s="154">
        <v>44417</v>
      </c>
      <c r="BV272" s="79">
        <v>125</v>
      </c>
      <c r="BW272" s="118"/>
      <c r="BY272" s="154">
        <v>44417</v>
      </c>
      <c r="BZ272" s="79">
        <v>152</v>
      </c>
      <c r="CA272" s="118"/>
    </row>
    <row r="273" spans="1:79">
      <c r="A273" s="133">
        <v>44413</v>
      </c>
      <c r="C273" s="79"/>
      <c r="E273" s="117">
        <v>44409</v>
      </c>
      <c r="F273" s="37"/>
      <c r="G273" s="37"/>
      <c r="I273" s="118">
        <v>44405</v>
      </c>
      <c r="J273" s="79">
        <v>6</v>
      </c>
      <c r="K273" s="79"/>
      <c r="N273" s="80">
        <v>44400</v>
      </c>
      <c r="O273" s="120">
        <v>1</v>
      </c>
      <c r="P273" s="120">
        <v>4</v>
      </c>
      <c r="R273" s="79">
        <v>5</v>
      </c>
      <c r="S273" s="134"/>
      <c r="U273" s="156">
        <v>44413</v>
      </c>
      <c r="W273" s="118"/>
      <c r="Y273" s="119">
        <v>44413</v>
      </c>
      <c r="AA273" s="79"/>
      <c r="AC273" s="80">
        <v>44410</v>
      </c>
      <c r="AD273" s="120">
        <v>2</v>
      </c>
      <c r="AE273" s="80"/>
      <c r="AG273" s="117">
        <v>44408</v>
      </c>
      <c r="AH273" s="37"/>
      <c r="AI273" s="118"/>
      <c r="AK273" s="119">
        <v>44405</v>
      </c>
      <c r="AL273" s="79">
        <v>4</v>
      </c>
      <c r="AM273" s="149"/>
      <c r="AO273" s="156">
        <v>44418</v>
      </c>
      <c r="AQ273" s="118"/>
      <c r="AR273" s="72"/>
      <c r="AS273" s="156">
        <v>44418</v>
      </c>
      <c r="AT273">
        <v>64</v>
      </c>
      <c r="AU273" s="118"/>
      <c r="AW273" s="156">
        <v>44418</v>
      </c>
      <c r="AX273">
        <v>95</v>
      </c>
      <c r="AY273" s="118"/>
      <c r="BA273" s="156">
        <v>44418</v>
      </c>
      <c r="BB273" s="79">
        <v>126</v>
      </c>
      <c r="BC273" s="118"/>
      <c r="BE273" s="156">
        <v>44418</v>
      </c>
      <c r="BF273" s="79">
        <v>153</v>
      </c>
      <c r="BG273" s="118"/>
      <c r="BI273" s="156">
        <v>44418</v>
      </c>
      <c r="BK273" s="118"/>
      <c r="BL273" s="72"/>
      <c r="BM273" s="156">
        <v>44418</v>
      </c>
      <c r="BN273">
        <v>64</v>
      </c>
      <c r="BO273" s="118"/>
      <c r="BQ273" s="156">
        <v>44418</v>
      </c>
      <c r="BR273">
        <v>95</v>
      </c>
      <c r="BS273" s="118"/>
      <c r="BU273" s="156">
        <v>44418</v>
      </c>
      <c r="BV273" s="79">
        <v>126</v>
      </c>
      <c r="BW273" s="118"/>
      <c r="BY273" s="156">
        <v>44418</v>
      </c>
      <c r="BZ273" s="79">
        <v>153</v>
      </c>
      <c r="CA273" s="118"/>
    </row>
    <row r="274" spans="1:79">
      <c r="A274" s="133">
        <v>44414</v>
      </c>
      <c r="C274" s="118"/>
      <c r="E274" s="118">
        <v>44410</v>
      </c>
      <c r="F274" s="79">
        <v>1</v>
      </c>
      <c r="G274" s="118"/>
      <c r="I274" s="121" t="s">
        <v>85</v>
      </c>
      <c r="J274" s="121">
        <f>COUNTA(J264:J273)</f>
        <v>6</v>
      </c>
      <c r="K274" s="122">
        <f>IF(J274&lt;=$A$45,1,J274/$A$45)</f>
        <v>1</v>
      </c>
      <c r="N274" s="117">
        <v>44401</v>
      </c>
      <c r="O274" s="37"/>
      <c r="P274" s="37"/>
      <c r="R274" s="79">
        <v>6</v>
      </c>
      <c r="S274" s="134"/>
      <c r="U274" s="156">
        <v>44414</v>
      </c>
      <c r="W274" s="118"/>
      <c r="X274" s="119"/>
      <c r="Y274" s="119">
        <v>44414</v>
      </c>
      <c r="AA274" s="79"/>
      <c r="AC274" s="80">
        <v>44411</v>
      </c>
      <c r="AD274" s="120">
        <v>3</v>
      </c>
      <c r="AE274" s="80"/>
      <c r="AG274" s="117">
        <v>44409</v>
      </c>
      <c r="AH274" s="37"/>
      <c r="AI274" s="118"/>
      <c r="AK274" s="119">
        <v>44406</v>
      </c>
      <c r="AL274" s="79">
        <v>5</v>
      </c>
      <c r="AM274" s="149"/>
      <c r="AO274" s="156">
        <v>44419</v>
      </c>
      <c r="AQ274" s="118"/>
      <c r="AS274" s="156">
        <v>44419</v>
      </c>
      <c r="AU274" s="118"/>
      <c r="AW274" s="156">
        <v>44419</v>
      </c>
      <c r="AX274">
        <v>96</v>
      </c>
      <c r="AY274" s="118"/>
      <c r="BA274" s="156">
        <v>44419</v>
      </c>
      <c r="BB274" s="79">
        <v>127</v>
      </c>
      <c r="BC274" s="118"/>
      <c r="BE274" s="156">
        <v>44419</v>
      </c>
      <c r="BF274" s="79">
        <v>154</v>
      </c>
      <c r="BG274" s="118"/>
      <c r="BI274" s="156">
        <v>44419</v>
      </c>
      <c r="BK274" s="118"/>
      <c r="BM274" s="156">
        <v>44419</v>
      </c>
      <c r="BO274" s="118"/>
      <c r="BQ274" s="156">
        <v>44419</v>
      </c>
      <c r="BR274">
        <v>96</v>
      </c>
      <c r="BS274" s="118"/>
      <c r="BU274" s="156">
        <v>44419</v>
      </c>
      <c r="BV274" s="79">
        <v>127</v>
      </c>
      <c r="BW274" s="118"/>
      <c r="BY274" s="156">
        <v>44419</v>
      </c>
      <c r="BZ274" s="79">
        <v>154</v>
      </c>
      <c r="CA274" s="118"/>
    </row>
    <row r="275" spans="1:79">
      <c r="A275" s="129">
        <v>44415</v>
      </c>
      <c r="B275" s="37"/>
      <c r="C275" s="79"/>
      <c r="D275" s="119"/>
      <c r="E275" s="118">
        <v>44411</v>
      </c>
      <c r="F275" s="79">
        <v>2</v>
      </c>
      <c r="G275" s="118"/>
      <c r="H275" s="119"/>
      <c r="I275" s="119">
        <v>44406</v>
      </c>
      <c r="K275" s="119"/>
      <c r="L275" s="119"/>
      <c r="M275" s="119"/>
      <c r="N275" s="117">
        <v>44402</v>
      </c>
      <c r="O275" s="37"/>
      <c r="P275" s="37"/>
      <c r="Q275" s="119"/>
      <c r="R275" s="120">
        <v>1</v>
      </c>
      <c r="S275" s="135"/>
      <c r="U275" s="152">
        <v>44415</v>
      </c>
      <c r="V275" s="37"/>
      <c r="W275" s="79"/>
      <c r="X275" s="119"/>
      <c r="Y275" s="117">
        <v>44415</v>
      </c>
      <c r="Z275" s="37"/>
      <c r="AA275" s="79"/>
      <c r="AC275" s="80">
        <v>44412</v>
      </c>
      <c r="AD275" s="120">
        <v>4</v>
      </c>
      <c r="AE275" s="80"/>
      <c r="AG275" s="118">
        <v>44410</v>
      </c>
      <c r="AH275" s="79">
        <v>10</v>
      </c>
      <c r="AI275" s="79"/>
      <c r="AK275" s="119">
        <v>44407</v>
      </c>
      <c r="AL275" s="79">
        <v>6</v>
      </c>
      <c r="AM275" s="148"/>
      <c r="AO275" s="156">
        <v>44420</v>
      </c>
      <c r="AQ275" s="118"/>
      <c r="AR275" s="119"/>
      <c r="AS275" s="156">
        <v>44420</v>
      </c>
      <c r="AU275" s="118"/>
      <c r="AW275" s="156">
        <v>44420</v>
      </c>
      <c r="AY275" s="118"/>
      <c r="BA275" s="156">
        <v>44420</v>
      </c>
      <c r="BB275" s="79">
        <v>128</v>
      </c>
      <c r="BC275" s="118"/>
      <c r="BE275" s="156">
        <v>44420</v>
      </c>
      <c r="BF275" s="79">
        <v>155</v>
      </c>
      <c r="BG275" s="118"/>
      <c r="BI275" s="156">
        <v>44420</v>
      </c>
      <c r="BK275" s="118"/>
      <c r="BL275" s="119"/>
      <c r="BM275" s="156">
        <v>44420</v>
      </c>
      <c r="BO275" s="118"/>
      <c r="BQ275" s="156">
        <v>44420</v>
      </c>
      <c r="BS275" s="118"/>
      <c r="BU275" s="156">
        <v>44420</v>
      </c>
      <c r="BV275" s="79">
        <v>128</v>
      </c>
      <c r="BW275" s="118"/>
      <c r="BY275" s="156">
        <v>44420</v>
      </c>
      <c r="BZ275" s="79">
        <v>155</v>
      </c>
      <c r="CA275" s="118"/>
    </row>
    <row r="276" spans="1:79">
      <c r="A276" s="129">
        <v>44416</v>
      </c>
      <c r="B276" s="37"/>
      <c r="C276" s="79"/>
      <c r="E276" s="119">
        <v>44412</v>
      </c>
      <c r="G276" s="118"/>
      <c r="I276" s="119">
        <v>44407</v>
      </c>
      <c r="L276" s="37"/>
      <c r="M276" s="37"/>
      <c r="N276" s="80">
        <v>44403</v>
      </c>
      <c r="O276" s="120">
        <v>2</v>
      </c>
      <c r="P276" s="120">
        <v>1</v>
      </c>
      <c r="R276" s="37"/>
      <c r="S276" s="130"/>
      <c r="U276" s="152">
        <v>44416</v>
      </c>
      <c r="V276" s="37"/>
      <c r="W276" s="79"/>
      <c r="Y276" s="117">
        <v>44416</v>
      </c>
      <c r="Z276" s="37"/>
      <c r="AA276" s="79"/>
      <c r="AC276" s="119">
        <v>44413</v>
      </c>
      <c r="AE276" s="80"/>
      <c r="AG276" s="121" t="s">
        <v>85</v>
      </c>
      <c r="AH276" s="121">
        <f>COUNTA(AH257:AH275)</f>
        <v>10</v>
      </c>
      <c r="AI276" s="122">
        <f>IF(AH276&lt;=$U$45,1,AH276/$U$45)</f>
        <v>1</v>
      </c>
      <c r="AK276" s="117">
        <v>44408</v>
      </c>
      <c r="AL276" s="37"/>
      <c r="AM276" s="148"/>
      <c r="AO276" s="156">
        <v>44421</v>
      </c>
      <c r="AQ276" s="118"/>
      <c r="AR276" s="119"/>
      <c r="AS276" s="156">
        <v>44421</v>
      </c>
      <c r="AU276" s="118"/>
      <c r="AW276" s="156">
        <v>44421</v>
      </c>
      <c r="AY276" s="118"/>
      <c r="BA276" s="156">
        <v>44421</v>
      </c>
      <c r="BC276" s="118"/>
      <c r="BE276" s="156">
        <v>44421</v>
      </c>
      <c r="BF276" s="79">
        <v>156</v>
      </c>
      <c r="BG276" s="118"/>
      <c r="BI276" s="156">
        <v>44421</v>
      </c>
      <c r="BK276" s="118"/>
      <c r="BL276" s="119"/>
      <c r="BM276" s="156">
        <v>44421</v>
      </c>
      <c r="BO276" s="118"/>
      <c r="BQ276" s="156">
        <v>44421</v>
      </c>
      <c r="BS276" s="118"/>
      <c r="BU276" s="156">
        <v>44421</v>
      </c>
      <c r="BW276" s="118"/>
      <c r="BY276" s="156">
        <v>44421</v>
      </c>
      <c r="BZ276" s="79">
        <v>156</v>
      </c>
      <c r="CA276" s="118"/>
    </row>
    <row r="277" spans="1:79">
      <c r="A277" s="131">
        <v>44417</v>
      </c>
      <c r="B277" s="79">
        <v>3</v>
      </c>
      <c r="C277" s="79"/>
      <c r="E277" s="119">
        <v>44413</v>
      </c>
      <c r="G277" s="118"/>
      <c r="I277" s="117">
        <v>44408</v>
      </c>
      <c r="J277" s="37"/>
      <c r="K277" s="37"/>
      <c r="L277" s="37"/>
      <c r="M277" s="37"/>
      <c r="N277" s="80">
        <v>44404</v>
      </c>
      <c r="O277" s="120">
        <v>3</v>
      </c>
      <c r="P277" s="120">
        <v>2</v>
      </c>
      <c r="R277" s="37"/>
      <c r="S277" s="130"/>
      <c r="U277" s="154">
        <v>44417</v>
      </c>
      <c r="V277" s="79">
        <v>3</v>
      </c>
      <c r="W277" s="79"/>
      <c r="Y277" s="118">
        <v>44417</v>
      </c>
      <c r="Z277" s="79">
        <v>5</v>
      </c>
      <c r="AA277" s="79"/>
      <c r="AC277" s="119">
        <v>44414</v>
      </c>
      <c r="AE277" s="80"/>
      <c r="AG277" s="80">
        <v>44411</v>
      </c>
      <c r="AH277" s="120">
        <v>1</v>
      </c>
      <c r="AI277" s="80"/>
      <c r="AK277" s="117">
        <v>44409</v>
      </c>
      <c r="AL277" s="37"/>
      <c r="AM277" s="148"/>
      <c r="AO277" s="152">
        <v>44422</v>
      </c>
      <c r="AP277" s="37"/>
      <c r="AQ277" s="118"/>
      <c r="AS277" s="152">
        <v>44422</v>
      </c>
      <c r="AT277" s="37"/>
      <c r="AU277" s="118"/>
      <c r="AW277" s="152">
        <v>44422</v>
      </c>
      <c r="AX277" s="37"/>
      <c r="AY277" s="118"/>
      <c r="BA277" s="152">
        <v>44422</v>
      </c>
      <c r="BB277" s="37"/>
      <c r="BC277" s="118"/>
      <c r="BE277" s="152">
        <v>44422</v>
      </c>
      <c r="BF277" s="37"/>
      <c r="BG277" s="118"/>
      <c r="BI277" s="152">
        <v>44422</v>
      </c>
      <c r="BJ277" s="37"/>
      <c r="BK277" s="118"/>
      <c r="BM277" s="152">
        <v>44422</v>
      </c>
      <c r="BN277" s="37"/>
      <c r="BO277" s="118"/>
      <c r="BQ277" s="152">
        <v>44422</v>
      </c>
      <c r="BR277" s="37"/>
      <c r="BS277" s="118"/>
      <c r="BU277" s="152">
        <v>44422</v>
      </c>
      <c r="BV277" s="37"/>
      <c r="BW277" s="118"/>
      <c r="BY277" s="152">
        <v>44422</v>
      </c>
      <c r="BZ277" s="37"/>
      <c r="CA277" s="118"/>
    </row>
    <row r="278" spans="1:79">
      <c r="A278" s="133">
        <v>44418</v>
      </c>
      <c r="C278" s="79"/>
      <c r="E278" s="119">
        <v>44414</v>
      </c>
      <c r="G278" s="118"/>
      <c r="I278" s="117">
        <v>44409</v>
      </c>
      <c r="J278" s="37"/>
      <c r="K278" s="37"/>
      <c r="N278" s="80">
        <v>44405</v>
      </c>
      <c r="O278" s="120">
        <v>4</v>
      </c>
      <c r="P278" s="120">
        <v>3</v>
      </c>
      <c r="R278" s="120">
        <v>2</v>
      </c>
      <c r="S278" s="125"/>
      <c r="U278" s="156">
        <v>44418</v>
      </c>
      <c r="W278" s="79"/>
      <c r="Y278" s="118">
        <v>44418</v>
      </c>
      <c r="Z278" s="79">
        <v>6</v>
      </c>
      <c r="AA278" s="79"/>
      <c r="AC278" s="117">
        <v>44415</v>
      </c>
      <c r="AD278" s="37"/>
      <c r="AE278" s="80"/>
      <c r="AG278" s="80">
        <v>44412</v>
      </c>
      <c r="AH278" s="120">
        <v>2</v>
      </c>
      <c r="AI278" s="80"/>
      <c r="AK278" s="118">
        <v>44410</v>
      </c>
      <c r="AL278" s="79">
        <v>7</v>
      </c>
      <c r="AM278" s="149"/>
      <c r="AO278" s="152">
        <v>44423</v>
      </c>
      <c r="AP278" s="37"/>
      <c r="AQ278" s="118"/>
      <c r="AS278" s="152">
        <v>44423</v>
      </c>
      <c r="AT278" s="37"/>
      <c r="AU278" s="118"/>
      <c r="AW278" s="152">
        <v>44423</v>
      </c>
      <c r="AX278" s="37"/>
      <c r="AY278" s="118"/>
      <c r="BA278" s="152">
        <v>44423</v>
      </c>
      <c r="BB278" s="37"/>
      <c r="BC278" s="118"/>
      <c r="BE278" s="152">
        <v>44423</v>
      </c>
      <c r="BF278" s="37"/>
      <c r="BG278" s="118"/>
      <c r="BI278" s="152">
        <v>44423</v>
      </c>
      <c r="BJ278" s="37"/>
      <c r="BK278" s="118"/>
      <c r="BM278" s="152">
        <v>44423</v>
      </c>
      <c r="BN278" s="37"/>
      <c r="BO278" s="118"/>
      <c r="BQ278" s="152">
        <v>44423</v>
      </c>
      <c r="BR278" s="37"/>
      <c r="BS278" s="118"/>
      <c r="BU278" s="152">
        <v>44423</v>
      </c>
      <c r="BV278" s="37"/>
      <c r="BW278" s="118"/>
      <c r="BY278" s="152">
        <v>44423</v>
      </c>
      <c r="BZ278" s="37"/>
      <c r="CA278" s="118"/>
    </row>
    <row r="279" spans="1:79">
      <c r="A279" s="133">
        <v>44419</v>
      </c>
      <c r="C279" s="79"/>
      <c r="E279" s="117">
        <v>44415</v>
      </c>
      <c r="F279" s="37"/>
      <c r="G279" s="118"/>
      <c r="I279" s="80">
        <v>44410</v>
      </c>
      <c r="J279" s="120">
        <v>1</v>
      </c>
      <c r="K279" s="80"/>
      <c r="N279" s="80">
        <v>44406</v>
      </c>
      <c r="O279" s="120">
        <v>5</v>
      </c>
      <c r="P279" s="120">
        <v>4</v>
      </c>
      <c r="R279" s="120">
        <v>3</v>
      </c>
      <c r="S279" s="125"/>
      <c r="U279" s="156">
        <v>44419</v>
      </c>
      <c r="W279" s="79"/>
      <c r="Y279" s="119">
        <v>44419</v>
      </c>
      <c r="AA279" s="79"/>
      <c r="AC279" s="117">
        <v>44416</v>
      </c>
      <c r="AD279" s="37"/>
      <c r="AE279" s="80"/>
      <c r="AG279" s="80">
        <v>44413</v>
      </c>
      <c r="AH279" s="120">
        <v>3</v>
      </c>
      <c r="AI279" s="80"/>
      <c r="AK279" s="119">
        <v>44411</v>
      </c>
      <c r="AL279" s="79">
        <v>8</v>
      </c>
      <c r="AM279" s="149"/>
      <c r="AO279" s="154">
        <v>44424</v>
      </c>
      <c r="AP279" s="79">
        <v>32</v>
      </c>
      <c r="AQ279" s="118"/>
      <c r="AS279" s="154">
        <v>44424</v>
      </c>
      <c r="AT279" s="79">
        <v>65</v>
      </c>
      <c r="AU279" s="118"/>
      <c r="AW279" s="154">
        <v>44424</v>
      </c>
      <c r="AX279" s="79">
        <v>97</v>
      </c>
      <c r="AY279" s="118"/>
      <c r="BA279" s="154">
        <v>44424</v>
      </c>
      <c r="BB279" s="79">
        <v>129</v>
      </c>
      <c r="BC279" s="118"/>
      <c r="BE279" s="154">
        <v>44424</v>
      </c>
      <c r="BF279" s="79">
        <v>157</v>
      </c>
      <c r="BG279" s="118"/>
      <c r="BI279" s="154">
        <v>44424</v>
      </c>
      <c r="BJ279" s="79">
        <v>32</v>
      </c>
      <c r="BK279" s="118"/>
      <c r="BM279" s="154">
        <v>44424</v>
      </c>
      <c r="BN279" s="79">
        <v>65</v>
      </c>
      <c r="BO279" s="118"/>
      <c r="BQ279" s="154">
        <v>44424</v>
      </c>
      <c r="BR279" s="79">
        <v>97</v>
      </c>
      <c r="BS279" s="118"/>
      <c r="BU279" s="154">
        <v>44424</v>
      </c>
      <c r="BV279" s="79">
        <v>129</v>
      </c>
      <c r="BW279" s="118"/>
      <c r="BY279" s="154">
        <v>44424</v>
      </c>
      <c r="BZ279" s="79">
        <v>157</v>
      </c>
      <c r="CA279" s="118"/>
    </row>
    <row r="280" spans="1:79">
      <c r="A280" s="133">
        <v>44420</v>
      </c>
      <c r="C280" s="79"/>
      <c r="E280" s="117">
        <v>44416</v>
      </c>
      <c r="F280" s="37"/>
      <c r="G280" s="118"/>
      <c r="I280" s="80">
        <v>44411</v>
      </c>
      <c r="J280" s="120">
        <v>2</v>
      </c>
      <c r="K280" s="80"/>
      <c r="N280" s="119">
        <v>44407</v>
      </c>
      <c r="R280" s="120">
        <v>4</v>
      </c>
      <c r="S280" s="125"/>
      <c r="U280" s="156">
        <v>44420</v>
      </c>
      <c r="W280" s="79"/>
      <c r="Y280" s="119">
        <v>44420</v>
      </c>
      <c r="AA280" s="79"/>
      <c r="AC280" s="80">
        <v>44417</v>
      </c>
      <c r="AD280" s="120">
        <v>5</v>
      </c>
      <c r="AE280" s="80"/>
      <c r="AG280" s="119">
        <v>44414</v>
      </c>
      <c r="AI280" s="80"/>
      <c r="AK280" s="118">
        <v>44412</v>
      </c>
      <c r="AL280" s="146">
        <v>9</v>
      </c>
      <c r="AM280" s="162"/>
      <c r="AO280" s="156">
        <v>44425</v>
      </c>
      <c r="AQ280" s="118"/>
      <c r="AS280" s="156">
        <v>44425</v>
      </c>
      <c r="AT280">
        <v>66</v>
      </c>
      <c r="AU280" s="118"/>
      <c r="AW280" s="156">
        <v>44425</v>
      </c>
      <c r="AX280">
        <v>98</v>
      </c>
      <c r="AY280" s="118"/>
      <c r="BA280" s="156">
        <v>44425</v>
      </c>
      <c r="BB280" s="79">
        <v>130</v>
      </c>
      <c r="BC280" s="118"/>
      <c r="BE280" s="156">
        <v>44425</v>
      </c>
      <c r="BF280" s="79">
        <v>158</v>
      </c>
      <c r="BG280" s="118"/>
      <c r="BI280" s="156">
        <v>44425</v>
      </c>
      <c r="BK280" s="118"/>
      <c r="BM280" s="156">
        <v>44425</v>
      </c>
      <c r="BN280">
        <v>66</v>
      </c>
      <c r="BO280" s="118"/>
      <c r="BQ280" s="156">
        <v>44425</v>
      </c>
      <c r="BR280">
        <v>98</v>
      </c>
      <c r="BS280" s="118"/>
      <c r="BU280" s="156">
        <v>44425</v>
      </c>
      <c r="BV280" s="79">
        <v>130</v>
      </c>
      <c r="BW280" s="118"/>
      <c r="BY280" s="156">
        <v>44425</v>
      </c>
      <c r="BZ280" s="79">
        <v>158</v>
      </c>
      <c r="CA280" s="118"/>
    </row>
    <row r="281" spans="1:79">
      <c r="A281" s="133">
        <v>44421</v>
      </c>
      <c r="C281" s="79"/>
      <c r="E281" s="118">
        <v>44417</v>
      </c>
      <c r="F281" s="79">
        <v>3</v>
      </c>
      <c r="G281" s="118"/>
      <c r="I281" s="80">
        <v>44412</v>
      </c>
      <c r="J281" s="120">
        <v>3</v>
      </c>
      <c r="K281" s="80"/>
      <c r="N281" s="117">
        <v>44408</v>
      </c>
      <c r="O281" s="37"/>
      <c r="P281" s="37"/>
      <c r="R281" s="120">
        <v>5</v>
      </c>
      <c r="S281" s="125"/>
      <c r="U281" s="156">
        <v>44421</v>
      </c>
      <c r="W281" s="79"/>
      <c r="Y281" s="119">
        <v>44421</v>
      </c>
      <c r="AA281" s="79"/>
      <c r="AC281" s="80">
        <v>44418</v>
      </c>
      <c r="AD281" s="120">
        <v>6</v>
      </c>
      <c r="AE281" s="80"/>
      <c r="AG281" s="117">
        <v>44415</v>
      </c>
      <c r="AH281" s="37"/>
      <c r="AI281" s="80"/>
      <c r="AK281" s="119">
        <v>44413</v>
      </c>
      <c r="AL281" s="146">
        <v>10</v>
      </c>
      <c r="AM281" s="162"/>
      <c r="AO281" s="156">
        <v>44426</v>
      </c>
      <c r="AQ281" s="118"/>
      <c r="AS281" s="156">
        <v>44426</v>
      </c>
      <c r="AU281" s="118"/>
      <c r="AW281" s="156">
        <v>44426</v>
      </c>
      <c r="AX281">
        <v>99</v>
      </c>
      <c r="AY281" s="118"/>
      <c r="BA281" s="156">
        <v>44426</v>
      </c>
      <c r="BB281" s="79">
        <v>131</v>
      </c>
      <c r="BC281" s="118"/>
      <c r="BE281" s="156">
        <v>44426</v>
      </c>
      <c r="BF281" s="79">
        <v>159</v>
      </c>
      <c r="BG281" s="118"/>
      <c r="BI281" s="156">
        <v>44426</v>
      </c>
      <c r="BK281" s="118"/>
      <c r="BM281" s="156">
        <v>44426</v>
      </c>
      <c r="BO281" s="118"/>
      <c r="BQ281" s="156">
        <v>44426</v>
      </c>
      <c r="BR281">
        <v>99</v>
      </c>
      <c r="BS281" s="118"/>
      <c r="BU281" s="156">
        <v>44426</v>
      </c>
      <c r="BV281" s="79">
        <v>131</v>
      </c>
      <c r="BW281" s="118"/>
      <c r="BY281" s="156">
        <v>44426</v>
      </c>
      <c r="BZ281" s="79">
        <v>159</v>
      </c>
      <c r="CA281" s="118"/>
    </row>
    <row r="282" spans="1:79">
      <c r="A282" s="129">
        <v>44422</v>
      </c>
      <c r="B282" s="37"/>
      <c r="C282" s="79"/>
      <c r="E282" s="118">
        <v>44418</v>
      </c>
      <c r="F282" s="79">
        <v>4</v>
      </c>
      <c r="G282" s="118"/>
      <c r="I282" s="119">
        <v>44413</v>
      </c>
      <c r="K282" s="80"/>
      <c r="N282" s="117">
        <v>44409</v>
      </c>
      <c r="O282" s="37"/>
      <c r="P282" s="37"/>
      <c r="R282" s="120">
        <v>6</v>
      </c>
      <c r="S282" s="125"/>
      <c r="U282" s="152">
        <v>44422</v>
      </c>
      <c r="V282" s="37"/>
      <c r="W282" s="79"/>
      <c r="Y282" s="117">
        <v>44422</v>
      </c>
      <c r="Z282" s="37"/>
      <c r="AA282" s="79"/>
      <c r="AC282" s="80">
        <v>44419</v>
      </c>
      <c r="AD282" s="120">
        <v>7</v>
      </c>
      <c r="AE282" s="80"/>
      <c r="AG282" s="117">
        <v>44416</v>
      </c>
      <c r="AH282" s="37"/>
      <c r="AI282" s="80"/>
      <c r="AK282" s="121" t="s">
        <v>85</v>
      </c>
      <c r="AL282" s="121">
        <f>COUNTA(AL268:AL281)</f>
        <v>10</v>
      </c>
      <c r="AM282" s="158">
        <f>IF(AL282&lt;=$U$45,1,AL282/$U$45)</f>
        <v>1</v>
      </c>
      <c r="AO282" s="156">
        <v>44427</v>
      </c>
      <c r="AQ282" s="118"/>
      <c r="AS282" s="156">
        <v>44427</v>
      </c>
      <c r="AU282" s="118"/>
      <c r="AW282" s="156">
        <v>44427</v>
      </c>
      <c r="AY282" s="118"/>
      <c r="BA282" s="156">
        <v>44427</v>
      </c>
      <c r="BB282" s="79">
        <v>132</v>
      </c>
      <c r="BC282" s="118"/>
      <c r="BE282" s="156">
        <v>44427</v>
      </c>
      <c r="BF282" s="79">
        <v>160</v>
      </c>
      <c r="BG282" s="118"/>
      <c r="BI282" s="156">
        <v>44427</v>
      </c>
      <c r="BK282" s="118"/>
      <c r="BM282" s="156">
        <v>44427</v>
      </c>
      <c r="BO282" s="118"/>
      <c r="BQ282" s="156">
        <v>44427</v>
      </c>
      <c r="BS282" s="118"/>
      <c r="BU282" s="156">
        <v>44427</v>
      </c>
      <c r="BV282" s="79">
        <v>132</v>
      </c>
      <c r="BW282" s="118"/>
      <c r="BY282" s="156">
        <v>44427</v>
      </c>
      <c r="BZ282" s="79">
        <v>160</v>
      </c>
      <c r="CA282" s="118"/>
    </row>
    <row r="283" spans="1:79">
      <c r="A283" s="129">
        <v>44423</v>
      </c>
      <c r="B283" s="37"/>
      <c r="C283" s="79"/>
      <c r="E283" s="119">
        <v>44419</v>
      </c>
      <c r="G283" s="118"/>
      <c r="I283" s="119">
        <v>44414</v>
      </c>
      <c r="K283" s="80"/>
      <c r="L283" s="37"/>
      <c r="M283" s="37"/>
      <c r="N283" s="80">
        <v>44410</v>
      </c>
      <c r="O283" s="120">
        <v>6</v>
      </c>
      <c r="P283" s="120">
        <v>1</v>
      </c>
      <c r="R283" s="37"/>
      <c r="S283" s="130"/>
      <c r="U283" s="152">
        <v>44423</v>
      </c>
      <c r="V283" s="37"/>
      <c r="W283" s="79"/>
      <c r="Y283" s="117">
        <v>44423</v>
      </c>
      <c r="Z283" s="37"/>
      <c r="AA283" s="79"/>
      <c r="AC283" s="119">
        <v>44420</v>
      </c>
      <c r="AE283" s="80"/>
      <c r="AG283" s="80">
        <v>44417</v>
      </c>
      <c r="AH283" s="120">
        <v>4</v>
      </c>
      <c r="AI283" s="80"/>
      <c r="AK283" s="119">
        <v>44414</v>
      </c>
      <c r="AL283">
        <v>1</v>
      </c>
      <c r="AM283" s="162"/>
      <c r="AO283" s="156">
        <v>44428</v>
      </c>
      <c r="AQ283" s="118"/>
      <c r="AS283" s="156">
        <v>44428</v>
      </c>
      <c r="AU283" s="118"/>
      <c r="AW283" s="156">
        <v>44428</v>
      </c>
      <c r="AY283" s="118"/>
      <c r="BA283" s="156">
        <v>44428</v>
      </c>
      <c r="BC283" s="118"/>
      <c r="BE283" s="156">
        <v>44428</v>
      </c>
      <c r="BF283" s="79">
        <v>161</v>
      </c>
      <c r="BG283" s="118"/>
      <c r="BI283" s="156">
        <v>44428</v>
      </c>
      <c r="BK283" s="118"/>
      <c r="BM283" s="156">
        <v>44428</v>
      </c>
      <c r="BO283" s="118"/>
      <c r="BQ283" s="156">
        <v>44428</v>
      </c>
      <c r="BS283" s="118"/>
      <c r="BU283" s="156">
        <v>44428</v>
      </c>
      <c r="BW283" s="118"/>
      <c r="BY283" s="156">
        <v>44428</v>
      </c>
      <c r="BZ283" s="79">
        <v>161</v>
      </c>
      <c r="CA283" s="118"/>
    </row>
    <row r="284" spans="1:79">
      <c r="A284" s="131">
        <v>44424</v>
      </c>
      <c r="B284" s="79">
        <v>4</v>
      </c>
      <c r="C284" s="118"/>
      <c r="E284" s="119">
        <v>44420</v>
      </c>
      <c r="G284" s="118"/>
      <c r="I284" s="117">
        <v>44415</v>
      </c>
      <c r="J284" s="37"/>
      <c r="K284" s="80"/>
      <c r="L284" s="37"/>
      <c r="M284" s="37"/>
      <c r="N284" s="121" t="s">
        <v>85</v>
      </c>
      <c r="O284" s="121">
        <f>COUNTA(O273:O283)</f>
        <v>6</v>
      </c>
      <c r="P284" s="122">
        <f>IF(O284&lt;=$A$45,1,O284/$A$45)</f>
        <v>1</v>
      </c>
      <c r="R284" s="37"/>
      <c r="S284" s="130"/>
      <c r="U284" s="154">
        <v>44424</v>
      </c>
      <c r="V284" s="79">
        <v>4</v>
      </c>
      <c r="W284" s="118"/>
      <c r="Y284" s="118">
        <v>44424</v>
      </c>
      <c r="Z284" s="79">
        <v>7</v>
      </c>
      <c r="AA284" s="79"/>
      <c r="AC284" s="119">
        <v>44421</v>
      </c>
      <c r="AE284" s="80"/>
      <c r="AG284" s="80">
        <v>44418</v>
      </c>
      <c r="AH284" s="120">
        <v>5</v>
      </c>
      <c r="AI284" s="80"/>
      <c r="AK284" s="117">
        <v>44415</v>
      </c>
      <c r="AL284" s="37"/>
      <c r="AM284" s="162"/>
      <c r="AO284" s="152">
        <v>44429</v>
      </c>
      <c r="AP284" s="37"/>
      <c r="AQ284" s="118"/>
      <c r="AS284" s="152">
        <v>44429</v>
      </c>
      <c r="AT284" s="37"/>
      <c r="AU284" s="118"/>
      <c r="AW284" s="152">
        <v>44429</v>
      </c>
      <c r="AX284" s="37"/>
      <c r="AY284" s="118"/>
      <c r="BA284" s="152">
        <v>44429</v>
      </c>
      <c r="BB284" s="37"/>
      <c r="BC284" s="118"/>
      <c r="BE284" s="152">
        <v>44429</v>
      </c>
      <c r="BF284" s="37"/>
      <c r="BG284" s="118"/>
      <c r="BI284" s="152">
        <v>44429</v>
      </c>
      <c r="BJ284" s="37"/>
      <c r="BK284" s="118"/>
      <c r="BM284" s="152">
        <v>44429</v>
      </c>
      <c r="BN284" s="37"/>
      <c r="BO284" s="118"/>
      <c r="BQ284" s="152">
        <v>44429</v>
      </c>
      <c r="BR284" s="37"/>
      <c r="BS284" s="118"/>
      <c r="BU284" s="152">
        <v>44429</v>
      </c>
      <c r="BV284" s="37"/>
      <c r="BW284" s="118"/>
      <c r="BY284" s="152">
        <v>44429</v>
      </c>
      <c r="BZ284" s="37"/>
      <c r="CA284" s="118"/>
    </row>
    <row r="285" spans="1:79">
      <c r="A285" s="133">
        <v>44425</v>
      </c>
      <c r="C285" s="118"/>
      <c r="D285" s="119"/>
      <c r="E285" s="119">
        <v>44421</v>
      </c>
      <c r="G285" s="118"/>
      <c r="H285" s="119"/>
      <c r="I285" s="117">
        <v>44416</v>
      </c>
      <c r="J285" s="37"/>
      <c r="K285" s="80"/>
      <c r="L285" s="119"/>
      <c r="M285" s="119"/>
      <c r="N285" s="118">
        <v>44411</v>
      </c>
      <c r="O285" s="79">
        <v>1</v>
      </c>
      <c r="P285" s="79">
        <v>2</v>
      </c>
      <c r="Q285" s="119"/>
      <c r="R285" s="79">
        <v>1</v>
      </c>
      <c r="S285" s="132"/>
      <c r="U285" s="156">
        <v>44425</v>
      </c>
      <c r="W285" s="118"/>
      <c r="X285" s="119"/>
      <c r="Y285" s="118">
        <v>44425</v>
      </c>
      <c r="Z285" s="79">
        <v>8</v>
      </c>
      <c r="AA285" s="79"/>
      <c r="AC285" s="117">
        <v>44422</v>
      </c>
      <c r="AD285" s="37"/>
      <c r="AE285" s="80"/>
      <c r="AG285" s="80">
        <v>44419</v>
      </c>
      <c r="AH285" s="120">
        <v>6</v>
      </c>
      <c r="AI285" s="80"/>
      <c r="AK285" s="117">
        <v>44416</v>
      </c>
      <c r="AL285" s="37"/>
      <c r="AM285" s="162"/>
      <c r="AO285" s="152">
        <v>44430</v>
      </c>
      <c r="AP285" s="37"/>
      <c r="AQ285" s="118"/>
      <c r="AS285" s="152">
        <v>44430</v>
      </c>
      <c r="AT285" s="37"/>
      <c r="AU285" s="118"/>
      <c r="AW285" s="152">
        <v>44430</v>
      </c>
      <c r="AX285" s="37"/>
      <c r="AY285" s="118"/>
      <c r="BA285" s="152">
        <v>44430</v>
      </c>
      <c r="BB285" s="37"/>
      <c r="BC285" s="118"/>
      <c r="BE285" s="152">
        <v>44430</v>
      </c>
      <c r="BF285" s="37"/>
      <c r="BG285" s="118"/>
      <c r="BI285" s="152">
        <v>44430</v>
      </c>
      <c r="BJ285" s="37"/>
      <c r="BK285" s="118"/>
      <c r="BM285" s="152">
        <v>44430</v>
      </c>
      <c r="BN285" s="37"/>
      <c r="BO285" s="118"/>
      <c r="BQ285" s="152">
        <v>44430</v>
      </c>
      <c r="BR285" s="37"/>
      <c r="BS285" s="118"/>
      <c r="BU285" s="152">
        <v>44430</v>
      </c>
      <c r="BV285" s="37"/>
      <c r="BW285" s="118"/>
      <c r="BY285" s="152">
        <v>44430</v>
      </c>
      <c r="BZ285" s="37"/>
      <c r="CA285" s="118"/>
    </row>
    <row r="286" spans="1:79">
      <c r="A286" s="133">
        <v>44426</v>
      </c>
      <c r="C286" s="79"/>
      <c r="D286" s="119"/>
      <c r="E286" s="117">
        <v>44422</v>
      </c>
      <c r="F286" s="37"/>
      <c r="G286" s="118"/>
      <c r="H286" s="119"/>
      <c r="I286" s="80">
        <v>44417</v>
      </c>
      <c r="J286" s="120">
        <v>4</v>
      </c>
      <c r="K286" s="80"/>
      <c r="L286" s="119"/>
      <c r="M286" s="119"/>
      <c r="N286" s="118">
        <v>44412</v>
      </c>
      <c r="O286" s="79">
        <v>2</v>
      </c>
      <c r="P286" s="79">
        <v>3</v>
      </c>
      <c r="Q286" s="119"/>
      <c r="R286" s="79">
        <v>2</v>
      </c>
      <c r="S286" s="134"/>
      <c r="U286" s="156">
        <v>44426</v>
      </c>
      <c r="W286" s="79"/>
      <c r="X286" s="119"/>
      <c r="Y286" s="119">
        <v>44426</v>
      </c>
      <c r="AA286" s="79"/>
      <c r="AC286" s="117">
        <v>44423</v>
      </c>
      <c r="AD286" s="37"/>
      <c r="AE286" s="80"/>
      <c r="AG286" s="80">
        <v>44420</v>
      </c>
      <c r="AH286" s="120">
        <v>7</v>
      </c>
      <c r="AI286" s="80"/>
      <c r="AK286" s="118">
        <v>44417</v>
      </c>
      <c r="AL286" s="146">
        <v>2</v>
      </c>
      <c r="AM286" s="162"/>
      <c r="AO286" s="154">
        <v>44431</v>
      </c>
      <c r="AP286" s="79">
        <v>33</v>
      </c>
      <c r="AQ286" s="118"/>
      <c r="AR286" s="119"/>
      <c r="AS286" s="154">
        <v>44431</v>
      </c>
      <c r="AT286" s="79">
        <v>67</v>
      </c>
      <c r="AU286" s="118"/>
      <c r="AW286" s="154">
        <v>44431</v>
      </c>
      <c r="AX286" s="79">
        <v>100</v>
      </c>
      <c r="AY286" s="118"/>
      <c r="BA286" s="154">
        <v>44431</v>
      </c>
      <c r="BB286" s="79">
        <v>133</v>
      </c>
      <c r="BC286" s="118"/>
      <c r="BE286" s="154">
        <v>44431</v>
      </c>
      <c r="BF286" s="79">
        <v>162</v>
      </c>
      <c r="BG286" s="118"/>
      <c r="BI286" s="154">
        <v>44431</v>
      </c>
      <c r="BJ286" s="79">
        <v>33</v>
      </c>
      <c r="BK286" s="118"/>
      <c r="BL286" s="119"/>
      <c r="BM286" s="154">
        <v>44431</v>
      </c>
      <c r="BN286" s="79">
        <v>67</v>
      </c>
      <c r="BO286" s="118"/>
      <c r="BQ286" s="154">
        <v>44431</v>
      </c>
      <c r="BR286" s="79">
        <v>100</v>
      </c>
      <c r="BS286" s="118"/>
      <c r="BU286" s="154">
        <v>44431</v>
      </c>
      <c r="BV286" s="79">
        <v>133</v>
      </c>
      <c r="BW286" s="118"/>
      <c r="BY286" s="154">
        <v>44431</v>
      </c>
      <c r="BZ286" s="79">
        <v>162</v>
      </c>
      <c r="CA286" s="118"/>
    </row>
    <row r="287" spans="1:79">
      <c r="A287" s="133">
        <v>44427</v>
      </c>
      <c r="C287" s="79"/>
      <c r="E287" s="117">
        <v>44423</v>
      </c>
      <c r="F287" s="37"/>
      <c r="G287" s="118"/>
      <c r="I287" s="80">
        <v>44418</v>
      </c>
      <c r="J287" s="120">
        <v>5</v>
      </c>
      <c r="K287" s="80"/>
      <c r="N287" s="118">
        <v>44413</v>
      </c>
      <c r="O287" s="79">
        <v>3</v>
      </c>
      <c r="P287" s="79">
        <v>4</v>
      </c>
      <c r="R287" s="79">
        <v>3</v>
      </c>
      <c r="S287" s="134"/>
      <c r="U287" s="156">
        <v>44427</v>
      </c>
      <c r="W287" s="79"/>
      <c r="Y287" s="119">
        <v>44427</v>
      </c>
      <c r="AA287" s="79"/>
      <c r="AC287" s="80">
        <v>44424</v>
      </c>
      <c r="AD287" s="120">
        <v>8</v>
      </c>
      <c r="AE287" s="80"/>
      <c r="AG287" s="119">
        <v>44421</v>
      </c>
      <c r="AI287" s="80"/>
      <c r="AK287" s="119">
        <v>44418</v>
      </c>
      <c r="AL287" s="146">
        <v>3</v>
      </c>
      <c r="AM287" s="162"/>
      <c r="AO287" s="156">
        <v>44432</v>
      </c>
      <c r="AQ287" s="118"/>
      <c r="AR287" s="119"/>
      <c r="AS287" s="156">
        <v>44432</v>
      </c>
      <c r="AT287">
        <v>68</v>
      </c>
      <c r="AU287" s="118"/>
      <c r="AW287" s="156">
        <v>44432</v>
      </c>
      <c r="AX287">
        <v>101</v>
      </c>
      <c r="AY287" s="118"/>
      <c r="BA287" s="156">
        <v>44432</v>
      </c>
      <c r="BB287" s="79">
        <v>134</v>
      </c>
      <c r="BC287" s="118"/>
      <c r="BE287" s="156">
        <v>44432</v>
      </c>
      <c r="BF287" s="79">
        <v>163</v>
      </c>
      <c r="BG287" s="118"/>
      <c r="BI287" s="156">
        <v>44432</v>
      </c>
      <c r="BK287" s="118"/>
      <c r="BL287" s="119"/>
      <c r="BM287" s="156">
        <v>44432</v>
      </c>
      <c r="BN287">
        <v>68</v>
      </c>
      <c r="BO287" s="118"/>
      <c r="BQ287" s="156">
        <v>44432</v>
      </c>
      <c r="BR287">
        <v>101</v>
      </c>
      <c r="BS287" s="118"/>
      <c r="BU287" s="156">
        <v>44432</v>
      </c>
      <c r="BV287" s="79">
        <v>134</v>
      </c>
      <c r="BW287" s="118"/>
      <c r="BY287" s="156">
        <v>44432</v>
      </c>
      <c r="BZ287" s="79">
        <v>163</v>
      </c>
      <c r="CA287" s="118"/>
    </row>
    <row r="288" spans="1:79">
      <c r="A288" s="133">
        <v>44428</v>
      </c>
      <c r="C288" s="79"/>
      <c r="E288" s="118">
        <v>44424</v>
      </c>
      <c r="F288" s="79">
        <v>5</v>
      </c>
      <c r="G288" s="118"/>
      <c r="I288" s="80">
        <v>44419</v>
      </c>
      <c r="J288" s="120">
        <v>6</v>
      </c>
      <c r="K288" s="80"/>
      <c r="N288" s="119">
        <v>44414</v>
      </c>
      <c r="P288" s="119"/>
      <c r="R288" s="79">
        <v>4</v>
      </c>
      <c r="S288" s="134"/>
      <c r="U288" s="156">
        <v>44428</v>
      </c>
      <c r="W288" s="79"/>
      <c r="Y288" s="119">
        <v>44428</v>
      </c>
      <c r="AA288" s="79"/>
      <c r="AC288" s="80">
        <v>44425</v>
      </c>
      <c r="AD288" s="120">
        <v>9</v>
      </c>
      <c r="AE288" s="80"/>
      <c r="AG288" s="117">
        <v>44422</v>
      </c>
      <c r="AH288" s="37"/>
      <c r="AI288" s="80"/>
      <c r="AK288" s="119">
        <v>44419</v>
      </c>
      <c r="AL288" s="146">
        <v>4</v>
      </c>
      <c r="AM288" s="162"/>
      <c r="AO288" s="156">
        <v>44433</v>
      </c>
      <c r="AQ288" s="118"/>
      <c r="AS288" s="156">
        <v>44433</v>
      </c>
      <c r="AU288" s="118"/>
      <c r="AW288" s="156">
        <v>44433</v>
      </c>
      <c r="AX288">
        <v>102</v>
      </c>
      <c r="AY288" s="118"/>
      <c r="BA288" s="156">
        <v>44433</v>
      </c>
      <c r="BB288" s="79">
        <v>135</v>
      </c>
      <c r="BC288" s="118"/>
      <c r="BE288" s="156">
        <v>44433</v>
      </c>
      <c r="BF288" s="79">
        <v>164</v>
      </c>
      <c r="BG288" s="118"/>
      <c r="BI288" s="156">
        <v>44433</v>
      </c>
      <c r="BK288" s="118"/>
      <c r="BM288" s="156">
        <v>44433</v>
      </c>
      <c r="BO288" s="118"/>
      <c r="BQ288" s="156">
        <v>44433</v>
      </c>
      <c r="BR288">
        <v>102</v>
      </c>
      <c r="BS288" s="118"/>
      <c r="BU288" s="156">
        <v>44433</v>
      </c>
      <c r="BV288" s="79">
        <v>135</v>
      </c>
      <c r="BW288" s="118"/>
      <c r="BY288" s="156">
        <v>44433</v>
      </c>
      <c r="BZ288" s="79">
        <v>164</v>
      </c>
      <c r="CA288" s="118"/>
    </row>
    <row r="289" spans="1:79">
      <c r="A289" s="129">
        <v>44429</v>
      </c>
      <c r="B289" s="37"/>
      <c r="C289" s="79"/>
      <c r="E289" s="118">
        <v>44425</v>
      </c>
      <c r="F289" s="79">
        <v>6</v>
      </c>
      <c r="G289" s="118"/>
      <c r="I289" s="121" t="s">
        <v>85</v>
      </c>
      <c r="J289" s="121">
        <f>COUNTA(J279:J288)</f>
        <v>6</v>
      </c>
      <c r="K289" s="122">
        <f>IF(J289&lt;=$A$45,1,J289/$A$45)</f>
        <v>1</v>
      </c>
      <c r="N289" s="117">
        <v>44415</v>
      </c>
      <c r="O289" s="37"/>
      <c r="P289" s="37"/>
      <c r="R289" s="79">
        <v>5</v>
      </c>
      <c r="S289" s="134"/>
      <c r="U289" s="152">
        <v>44429</v>
      </c>
      <c r="V289" s="37"/>
      <c r="W289" s="79"/>
      <c r="Y289" s="117">
        <v>44429</v>
      </c>
      <c r="Z289" s="37"/>
      <c r="AA289" s="79"/>
      <c r="AC289" s="80">
        <v>44426</v>
      </c>
      <c r="AD289" s="120">
        <v>10</v>
      </c>
      <c r="AE289" s="80"/>
      <c r="AG289" s="117">
        <v>44423</v>
      </c>
      <c r="AH289" s="37"/>
      <c r="AI289" s="80"/>
      <c r="AK289" s="119">
        <v>44420</v>
      </c>
      <c r="AL289" s="146">
        <v>5</v>
      </c>
      <c r="AM289" s="162"/>
      <c r="AO289" s="156">
        <v>44434</v>
      </c>
      <c r="AQ289" s="118"/>
      <c r="AS289" s="156">
        <v>44434</v>
      </c>
      <c r="AU289" s="118"/>
      <c r="AW289" s="156">
        <v>44434</v>
      </c>
      <c r="AY289" s="118"/>
      <c r="BA289" s="156">
        <v>44434</v>
      </c>
      <c r="BB289" s="79">
        <v>136</v>
      </c>
      <c r="BC289" s="118"/>
      <c r="BE289" s="156">
        <v>44434</v>
      </c>
      <c r="BF289" s="79">
        <v>165</v>
      </c>
      <c r="BG289" s="118"/>
      <c r="BI289" s="156">
        <v>44434</v>
      </c>
      <c r="BK289" s="118"/>
      <c r="BM289" s="156">
        <v>44434</v>
      </c>
      <c r="BO289" s="118"/>
      <c r="BQ289" s="156">
        <v>44434</v>
      </c>
      <c r="BS289" s="118"/>
      <c r="BU289" s="156">
        <v>44434</v>
      </c>
      <c r="BV289" s="79">
        <v>136</v>
      </c>
      <c r="BW289" s="118"/>
      <c r="BY289" s="156">
        <v>44434</v>
      </c>
      <c r="BZ289" s="79">
        <v>165</v>
      </c>
      <c r="CA289" s="118"/>
    </row>
    <row r="290" spans="1:79">
      <c r="A290" s="129">
        <v>44430</v>
      </c>
      <c r="B290" s="37"/>
      <c r="C290" s="79"/>
      <c r="E290" s="121" t="s">
        <v>85</v>
      </c>
      <c r="F290" s="121">
        <f>COUNTA(F274:F289)</f>
        <v>6</v>
      </c>
      <c r="G290" s="122">
        <f>IF(F290&lt;=$A$45,1,F290/$A$45)</f>
        <v>1</v>
      </c>
      <c r="I290" s="119">
        <v>44420</v>
      </c>
      <c r="L290" s="37"/>
      <c r="M290" s="37"/>
      <c r="N290" s="117">
        <v>44416</v>
      </c>
      <c r="O290" s="37"/>
      <c r="P290" s="37"/>
      <c r="R290" s="37"/>
      <c r="S290" s="130"/>
      <c r="U290" s="152">
        <v>44430</v>
      </c>
      <c r="V290" s="37"/>
      <c r="W290" s="79"/>
      <c r="Y290" s="117">
        <v>44430</v>
      </c>
      <c r="Z290" s="37"/>
      <c r="AA290" s="79"/>
      <c r="AC290" s="121" t="s">
        <v>85</v>
      </c>
      <c r="AD290" s="121">
        <f>COUNTA(AD268:AD289)</f>
        <v>10</v>
      </c>
      <c r="AE290" s="122">
        <f>IF(AD290&lt;=$U$45,1,AD290/$U$45)</f>
        <v>1</v>
      </c>
      <c r="AG290" s="80">
        <v>44424</v>
      </c>
      <c r="AH290" s="120">
        <v>8</v>
      </c>
      <c r="AI290" s="80"/>
      <c r="AK290" s="119">
        <v>44421</v>
      </c>
      <c r="AL290" s="146">
        <v>6</v>
      </c>
      <c r="AM290" s="162"/>
      <c r="AO290" s="156">
        <v>44435</v>
      </c>
      <c r="AQ290" s="118"/>
      <c r="AS290" s="156">
        <v>44435</v>
      </c>
      <c r="AU290" s="118"/>
      <c r="AW290" s="156">
        <v>44435</v>
      </c>
      <c r="AY290" s="118"/>
      <c r="BA290" s="156">
        <v>44435</v>
      </c>
      <c r="BC290" s="118"/>
      <c r="BE290" s="156">
        <v>44435</v>
      </c>
      <c r="BF290" s="79">
        <v>166</v>
      </c>
      <c r="BG290" s="118"/>
      <c r="BI290" s="156">
        <v>44435</v>
      </c>
      <c r="BK290" s="118"/>
      <c r="BM290" s="156">
        <v>44435</v>
      </c>
      <c r="BO290" s="118"/>
      <c r="BQ290" s="156">
        <v>44435</v>
      </c>
      <c r="BS290" s="118"/>
      <c r="BU290" s="156">
        <v>44435</v>
      </c>
      <c r="BW290" s="118"/>
      <c r="BY290" s="156">
        <v>44435</v>
      </c>
      <c r="BZ290" s="79">
        <v>166</v>
      </c>
      <c r="CA290" s="118"/>
    </row>
    <row r="291" spans="1:79">
      <c r="A291" s="131">
        <v>44431</v>
      </c>
      <c r="B291" s="79">
        <v>5</v>
      </c>
      <c r="C291" s="79"/>
      <c r="E291" s="119">
        <v>44426</v>
      </c>
      <c r="I291" s="119">
        <v>44421</v>
      </c>
      <c r="L291" s="37"/>
      <c r="M291" s="37"/>
      <c r="N291" s="118">
        <v>44417</v>
      </c>
      <c r="O291" s="79">
        <v>4</v>
      </c>
      <c r="P291" s="79">
        <v>1</v>
      </c>
      <c r="R291" s="37"/>
      <c r="S291" s="130"/>
      <c r="U291" s="154">
        <v>44431</v>
      </c>
      <c r="V291" s="79">
        <v>5</v>
      </c>
      <c r="W291" s="79"/>
      <c r="Y291" s="118">
        <v>44431</v>
      </c>
      <c r="Z291" s="79">
        <v>9</v>
      </c>
      <c r="AA291" s="79"/>
      <c r="AC291" s="119">
        <v>44427</v>
      </c>
      <c r="AG291" s="80">
        <v>44425</v>
      </c>
      <c r="AH291" s="120">
        <v>9</v>
      </c>
      <c r="AI291" s="80"/>
      <c r="AK291" s="117">
        <v>44422</v>
      </c>
      <c r="AL291" s="37"/>
      <c r="AM291" s="162"/>
      <c r="AO291" s="152">
        <v>44436</v>
      </c>
      <c r="AP291" s="37"/>
      <c r="AQ291" s="118"/>
      <c r="AS291" s="152">
        <v>44436</v>
      </c>
      <c r="AT291" s="37"/>
      <c r="AU291" s="118"/>
      <c r="AW291" s="152">
        <v>44436</v>
      </c>
      <c r="AX291" s="37"/>
      <c r="AY291" s="118"/>
      <c r="BA291" s="152">
        <v>44436</v>
      </c>
      <c r="BB291" s="37"/>
      <c r="BC291" s="118"/>
      <c r="BE291" s="152">
        <v>44436</v>
      </c>
      <c r="BF291" s="37"/>
      <c r="BG291" s="118"/>
      <c r="BI291" s="152">
        <v>44436</v>
      </c>
      <c r="BJ291" s="37"/>
      <c r="BK291" s="118"/>
      <c r="BM291" s="152">
        <v>44436</v>
      </c>
      <c r="BN291" s="37"/>
      <c r="BO291" s="118"/>
      <c r="BQ291" s="152">
        <v>44436</v>
      </c>
      <c r="BR291" s="37"/>
      <c r="BS291" s="118"/>
      <c r="BU291" s="152">
        <v>44436</v>
      </c>
      <c r="BV291" s="37"/>
      <c r="BW291" s="118"/>
      <c r="BY291" s="152">
        <v>44436</v>
      </c>
      <c r="BZ291" s="37"/>
      <c r="CA291" s="118"/>
    </row>
    <row r="292" spans="1:79">
      <c r="A292" s="133">
        <v>44432</v>
      </c>
      <c r="C292" s="118"/>
      <c r="E292" s="119">
        <v>44427</v>
      </c>
      <c r="I292" s="117">
        <v>44422</v>
      </c>
      <c r="J292" s="37"/>
      <c r="K292" s="37"/>
      <c r="N292" s="118">
        <v>44418</v>
      </c>
      <c r="O292" s="79">
        <v>5</v>
      </c>
      <c r="P292" s="79">
        <v>2</v>
      </c>
      <c r="R292" s="79">
        <v>6</v>
      </c>
      <c r="S292" s="134"/>
      <c r="U292" s="156">
        <v>44432</v>
      </c>
      <c r="W292" s="118"/>
      <c r="Y292" s="118">
        <v>44432</v>
      </c>
      <c r="Z292" s="79">
        <v>10</v>
      </c>
      <c r="AA292" s="79"/>
      <c r="AC292" s="119">
        <v>44428</v>
      </c>
      <c r="AG292" s="80">
        <v>44426</v>
      </c>
      <c r="AH292" s="120">
        <v>10</v>
      </c>
      <c r="AI292" s="80"/>
      <c r="AK292" s="117">
        <v>44423</v>
      </c>
      <c r="AL292" s="37"/>
      <c r="AM292" s="162"/>
      <c r="AO292" s="152">
        <v>44437</v>
      </c>
      <c r="AP292" s="37"/>
      <c r="AQ292" s="118"/>
      <c r="AS292" s="152">
        <v>44437</v>
      </c>
      <c r="AT292" s="37"/>
      <c r="AU292" s="118"/>
      <c r="AW292" s="152">
        <v>44437</v>
      </c>
      <c r="AX292" s="37"/>
      <c r="AY292" s="118"/>
      <c r="BA292" s="152">
        <v>44437</v>
      </c>
      <c r="BB292" s="37"/>
      <c r="BC292" s="118"/>
      <c r="BE292" s="152">
        <v>44437</v>
      </c>
      <c r="BF292" s="37"/>
      <c r="BG292" s="118"/>
      <c r="BI292" s="152">
        <v>44437</v>
      </c>
      <c r="BJ292" s="37"/>
      <c r="BK292" s="118"/>
      <c r="BM292" s="152">
        <v>44437</v>
      </c>
      <c r="BN292" s="37"/>
      <c r="BO292" s="118"/>
      <c r="BQ292" s="152">
        <v>44437</v>
      </c>
      <c r="BR292" s="37"/>
      <c r="BS292" s="118"/>
      <c r="BU292" s="152">
        <v>44437</v>
      </c>
      <c r="BV292" s="37"/>
      <c r="BW292" s="118"/>
      <c r="BY292" s="152">
        <v>44437</v>
      </c>
      <c r="BZ292" s="37"/>
      <c r="CA292" s="118"/>
    </row>
    <row r="293" spans="1:79">
      <c r="A293" s="133">
        <v>44433</v>
      </c>
      <c r="C293" s="79"/>
      <c r="D293" s="119"/>
      <c r="E293" s="119">
        <v>44428</v>
      </c>
      <c r="H293" s="119"/>
      <c r="I293" s="117">
        <v>44423</v>
      </c>
      <c r="J293" s="37"/>
      <c r="K293" s="37"/>
      <c r="L293" s="119"/>
      <c r="M293" s="119"/>
      <c r="N293" s="118">
        <v>44419</v>
      </c>
      <c r="O293" s="79">
        <v>6</v>
      </c>
      <c r="P293" s="79">
        <v>3</v>
      </c>
      <c r="Q293" s="119"/>
      <c r="R293" s="120">
        <v>1</v>
      </c>
      <c r="S293" s="135"/>
      <c r="U293" s="156">
        <v>44433</v>
      </c>
      <c r="W293" s="79"/>
      <c r="X293" s="119"/>
      <c r="Y293" s="119">
        <v>44433</v>
      </c>
      <c r="AA293" s="79"/>
      <c r="AC293" s="117">
        <v>44429</v>
      </c>
      <c r="AD293" s="37"/>
      <c r="AE293" s="37"/>
      <c r="AG293" s="121" t="s">
        <v>85</v>
      </c>
      <c r="AH293" s="121">
        <f>COUNTA(AH277:AH292)</f>
        <v>10</v>
      </c>
      <c r="AI293" s="122">
        <f>IF(AH293&lt;=$U$45,1,AH293/$U$45)</f>
        <v>1</v>
      </c>
      <c r="AK293" s="118">
        <v>44424</v>
      </c>
      <c r="AL293" s="146">
        <v>7</v>
      </c>
      <c r="AM293" s="162"/>
      <c r="AO293" s="154">
        <v>44438</v>
      </c>
      <c r="AP293" s="79">
        <v>34</v>
      </c>
      <c r="AQ293" s="118"/>
      <c r="AS293" s="154">
        <v>44438</v>
      </c>
      <c r="AT293" s="79">
        <v>69</v>
      </c>
      <c r="AU293" s="118"/>
      <c r="AW293" s="154">
        <v>44438</v>
      </c>
      <c r="AX293" s="79">
        <v>103</v>
      </c>
      <c r="AY293" s="118"/>
      <c r="BA293" s="154">
        <v>44438</v>
      </c>
      <c r="BB293" s="79">
        <v>137</v>
      </c>
      <c r="BC293" s="118"/>
      <c r="BE293" s="154">
        <v>44438</v>
      </c>
      <c r="BF293" s="79">
        <v>167</v>
      </c>
      <c r="BG293" s="118"/>
      <c r="BI293" s="154">
        <v>44438</v>
      </c>
      <c r="BJ293" s="79">
        <v>34</v>
      </c>
      <c r="BK293" s="118"/>
      <c r="BM293" s="154">
        <v>44438</v>
      </c>
      <c r="BN293" s="79">
        <v>69</v>
      </c>
      <c r="BO293" s="118"/>
      <c r="BQ293" s="154">
        <v>44438</v>
      </c>
      <c r="BR293" s="79">
        <v>103</v>
      </c>
      <c r="BS293" s="118"/>
      <c r="BU293" s="154">
        <v>44438</v>
      </c>
      <c r="BV293" s="79">
        <v>137</v>
      </c>
      <c r="BW293" s="118"/>
      <c r="BY293" s="154">
        <v>44438</v>
      </c>
      <c r="BZ293" s="79">
        <v>167</v>
      </c>
      <c r="CA293" s="118"/>
    </row>
    <row r="294" spans="1:79">
      <c r="A294" s="136" t="s">
        <v>85</v>
      </c>
      <c r="B294" s="121">
        <f>COUNTA(B263:B293)</f>
        <v>5</v>
      </c>
      <c r="C294" s="122">
        <f>IF(B294&lt;=$A$45,1,B294/$A$45)</f>
        <v>1</v>
      </c>
      <c r="E294" s="117">
        <v>44429</v>
      </c>
      <c r="F294" s="37"/>
      <c r="G294" s="37"/>
      <c r="I294" s="118">
        <v>44424</v>
      </c>
      <c r="J294" s="79">
        <v>1</v>
      </c>
      <c r="K294" s="118"/>
      <c r="N294" s="121" t="s">
        <v>85</v>
      </c>
      <c r="O294" s="121">
        <f>COUNTA(O285:O293)</f>
        <v>6</v>
      </c>
      <c r="P294" s="122">
        <f>IF(O294&lt;=$A$45,1,O294/$A$45)</f>
        <v>1</v>
      </c>
      <c r="R294" s="120">
        <v>2</v>
      </c>
      <c r="S294" s="125"/>
      <c r="U294" s="160" t="s">
        <v>85</v>
      </c>
      <c r="V294" s="121">
        <f>COUNTA(V263:V293)</f>
        <v>5</v>
      </c>
      <c r="W294" s="122">
        <f>IF(V294&lt;=$U$45,1,V294/$U$45)</f>
        <v>1</v>
      </c>
      <c r="Y294" s="121" t="s">
        <v>85</v>
      </c>
      <c r="Z294" s="121">
        <f>COUNTA(Z263:Z293)</f>
        <v>10</v>
      </c>
      <c r="AA294" s="122">
        <f>IF(Z294&lt;=$U$45,1,Z294/$U$45)</f>
        <v>1</v>
      </c>
      <c r="AC294" s="117">
        <v>44430</v>
      </c>
      <c r="AD294" s="37"/>
      <c r="AE294" s="37"/>
      <c r="AG294" s="118">
        <v>44427</v>
      </c>
      <c r="AH294" s="79">
        <v>1</v>
      </c>
      <c r="AI294" s="79"/>
      <c r="AK294" s="119">
        <v>44425</v>
      </c>
      <c r="AL294" s="146">
        <v>8</v>
      </c>
      <c r="AM294" s="162"/>
      <c r="AO294" s="156">
        <v>44439</v>
      </c>
      <c r="AQ294" s="118"/>
      <c r="AR294" s="119"/>
      <c r="AS294" s="156">
        <v>44439</v>
      </c>
      <c r="AT294">
        <v>70</v>
      </c>
      <c r="AU294" s="118"/>
      <c r="AW294" s="156">
        <v>44439</v>
      </c>
      <c r="AX294">
        <v>104</v>
      </c>
      <c r="AY294" s="118"/>
      <c r="BA294" s="156">
        <v>44439</v>
      </c>
      <c r="BB294" s="79">
        <v>138</v>
      </c>
      <c r="BC294" s="118"/>
      <c r="BE294" s="156">
        <v>44439</v>
      </c>
      <c r="BF294" s="79">
        <v>168</v>
      </c>
      <c r="BG294" s="118"/>
      <c r="BI294" s="156">
        <v>44439</v>
      </c>
      <c r="BK294" s="118"/>
      <c r="BL294" s="119"/>
      <c r="BM294" s="156">
        <v>44439</v>
      </c>
      <c r="BN294">
        <v>70</v>
      </c>
      <c r="BO294" s="118"/>
      <c r="BQ294" s="156">
        <v>44439</v>
      </c>
      <c r="BR294">
        <v>104</v>
      </c>
      <c r="BS294" s="118"/>
      <c r="BU294" s="156">
        <v>44439</v>
      </c>
      <c r="BV294" s="79">
        <v>138</v>
      </c>
      <c r="BW294" s="118"/>
      <c r="BY294" s="156">
        <v>44439</v>
      </c>
      <c r="BZ294" s="79">
        <v>168</v>
      </c>
      <c r="CA294" s="118"/>
    </row>
    <row r="295" spans="1:79">
      <c r="A295" s="133">
        <v>44434</v>
      </c>
      <c r="C295" s="119"/>
      <c r="D295" s="119"/>
      <c r="E295" s="117">
        <v>44430</v>
      </c>
      <c r="F295" s="37"/>
      <c r="G295" s="37"/>
      <c r="H295" s="119"/>
      <c r="I295" s="118">
        <v>44425</v>
      </c>
      <c r="J295" s="79">
        <v>2</v>
      </c>
      <c r="K295" s="79"/>
      <c r="N295" s="80">
        <v>44420</v>
      </c>
      <c r="O295" s="120">
        <v>1</v>
      </c>
      <c r="P295" s="120">
        <v>4</v>
      </c>
      <c r="Q295" s="119"/>
      <c r="R295" s="120">
        <v>3</v>
      </c>
      <c r="S295" s="125"/>
      <c r="U295" s="156">
        <v>44434</v>
      </c>
      <c r="Y295" s="119">
        <v>44434</v>
      </c>
      <c r="AA295" s="119"/>
      <c r="AC295" s="118">
        <v>44431</v>
      </c>
      <c r="AD295" s="79">
        <v>1</v>
      </c>
      <c r="AE295" s="79"/>
      <c r="AG295" s="119">
        <v>44428</v>
      </c>
      <c r="AI295" s="118"/>
      <c r="AK295" s="119">
        <v>44426</v>
      </c>
      <c r="AL295" s="146">
        <v>9</v>
      </c>
      <c r="AM295" s="162"/>
      <c r="AO295" s="156">
        <v>44440</v>
      </c>
      <c r="AQ295" s="118"/>
      <c r="AS295" s="156">
        <v>44440</v>
      </c>
      <c r="AU295" s="118"/>
      <c r="AW295" s="156">
        <v>44440</v>
      </c>
      <c r="AX295">
        <v>105</v>
      </c>
      <c r="AY295" s="118"/>
      <c r="BA295" s="156">
        <v>44440</v>
      </c>
      <c r="BB295" s="79">
        <v>139</v>
      </c>
      <c r="BC295" s="118"/>
      <c r="BE295" s="156">
        <v>44440</v>
      </c>
      <c r="BF295" s="79">
        <v>169</v>
      </c>
      <c r="BG295" s="118"/>
      <c r="BI295" s="156">
        <v>44440</v>
      </c>
      <c r="BK295" s="118"/>
      <c r="BM295" s="156">
        <v>44440</v>
      </c>
      <c r="BO295" s="118"/>
      <c r="BQ295" s="156">
        <v>44440</v>
      </c>
      <c r="BR295">
        <v>105</v>
      </c>
      <c r="BS295" s="118"/>
      <c r="BU295" s="156">
        <v>44440</v>
      </c>
      <c r="BV295" s="79">
        <v>139</v>
      </c>
      <c r="BW295" s="118"/>
      <c r="BY295" s="156">
        <v>44440</v>
      </c>
      <c r="BZ295" s="79">
        <v>169</v>
      </c>
      <c r="CA295" s="118"/>
    </row>
    <row r="296" spans="1:79">
      <c r="A296" s="133">
        <v>44435</v>
      </c>
      <c r="E296" s="80">
        <v>44431</v>
      </c>
      <c r="F296" s="120">
        <v>1</v>
      </c>
      <c r="G296" s="80"/>
      <c r="I296" s="118">
        <v>44426</v>
      </c>
      <c r="J296" s="79">
        <v>3</v>
      </c>
      <c r="K296" s="79"/>
      <c r="N296" s="119">
        <v>44421</v>
      </c>
      <c r="R296" s="120">
        <v>4</v>
      </c>
      <c r="S296" s="125"/>
      <c r="U296" s="156">
        <v>44435</v>
      </c>
      <c r="Y296" s="119">
        <v>44435</v>
      </c>
      <c r="AC296" s="118">
        <v>44432</v>
      </c>
      <c r="AD296" s="79">
        <v>2</v>
      </c>
      <c r="AE296" s="79"/>
      <c r="AG296" s="117">
        <v>44429</v>
      </c>
      <c r="AH296" s="37"/>
      <c r="AI296" s="118"/>
      <c r="AK296" s="119">
        <v>44427</v>
      </c>
      <c r="AL296" s="146">
        <v>10</v>
      </c>
      <c r="AM296" s="162"/>
      <c r="AO296" s="156">
        <v>44441</v>
      </c>
      <c r="AQ296" s="118"/>
      <c r="AS296" s="156">
        <v>44441</v>
      </c>
      <c r="AU296" s="118"/>
      <c r="AW296" s="156">
        <v>44441</v>
      </c>
      <c r="AY296" s="118"/>
      <c r="BA296" s="156">
        <v>44441</v>
      </c>
      <c r="BB296" s="79">
        <v>140</v>
      </c>
      <c r="BC296" s="118"/>
      <c r="BE296" s="156">
        <v>44441</v>
      </c>
      <c r="BF296" s="79">
        <v>170</v>
      </c>
      <c r="BG296" s="118"/>
      <c r="BI296" s="156">
        <v>44441</v>
      </c>
      <c r="BK296" s="118"/>
      <c r="BM296" s="156">
        <v>44441</v>
      </c>
      <c r="BO296" s="118"/>
      <c r="BQ296" s="156">
        <v>44441</v>
      </c>
      <c r="BS296" s="118"/>
      <c r="BU296" s="156">
        <v>44441</v>
      </c>
      <c r="BV296" s="79">
        <v>140</v>
      </c>
      <c r="BW296" s="118"/>
      <c r="BY296" s="156">
        <v>44441</v>
      </c>
      <c r="BZ296" s="79">
        <v>170</v>
      </c>
      <c r="CA296" s="118"/>
    </row>
    <row r="297" spans="1:79">
      <c r="A297" s="129">
        <v>44436</v>
      </c>
      <c r="B297" s="37"/>
      <c r="C297" s="37"/>
      <c r="E297" s="80">
        <v>44432</v>
      </c>
      <c r="F297" s="120">
        <v>2</v>
      </c>
      <c r="G297" s="80"/>
      <c r="I297" s="119">
        <v>44427</v>
      </c>
      <c r="K297" s="79"/>
      <c r="L297" s="37"/>
      <c r="M297" s="37"/>
      <c r="N297" s="117">
        <v>44422</v>
      </c>
      <c r="O297" s="37"/>
      <c r="P297" s="37"/>
      <c r="R297" s="37"/>
      <c r="S297" s="130"/>
      <c r="U297" s="152">
        <v>44436</v>
      </c>
      <c r="V297" s="37"/>
      <c r="Y297" s="117">
        <v>44436</v>
      </c>
      <c r="Z297" s="37"/>
      <c r="AA297" s="37"/>
      <c r="AC297" s="118">
        <v>44433</v>
      </c>
      <c r="AD297" s="79">
        <v>3</v>
      </c>
      <c r="AE297" s="79"/>
      <c r="AG297" s="117">
        <v>44430</v>
      </c>
      <c r="AH297" s="37"/>
      <c r="AI297" s="118"/>
      <c r="AK297" s="121" t="s">
        <v>85</v>
      </c>
      <c r="AL297" s="121">
        <f>COUNTA(AL283:AL296)</f>
        <v>10</v>
      </c>
      <c r="AM297" s="158">
        <f>IF(AL297&lt;=$U$45,1,AL297/$U$45)</f>
        <v>1</v>
      </c>
      <c r="AO297" s="156">
        <v>44442</v>
      </c>
      <c r="AQ297" s="118"/>
      <c r="AS297" s="156">
        <v>44442</v>
      </c>
      <c r="AU297" s="118"/>
      <c r="AW297" s="156">
        <v>44442</v>
      </c>
      <c r="AY297" s="118"/>
      <c r="BA297" s="156">
        <v>44442</v>
      </c>
      <c r="BC297" s="118"/>
      <c r="BE297" s="156">
        <v>44442</v>
      </c>
      <c r="BF297" s="79">
        <v>171</v>
      </c>
      <c r="BG297" s="118"/>
      <c r="BI297" s="156">
        <v>44442</v>
      </c>
      <c r="BK297" s="118"/>
      <c r="BM297" s="156">
        <v>44442</v>
      </c>
      <c r="BO297" s="118"/>
      <c r="BQ297" s="156">
        <v>44442</v>
      </c>
      <c r="BS297" s="118"/>
      <c r="BU297" s="156">
        <v>44442</v>
      </c>
      <c r="BW297" s="118"/>
      <c r="BY297" s="156">
        <v>44442</v>
      </c>
      <c r="BZ297" s="79">
        <v>171</v>
      </c>
      <c r="CA297" s="118"/>
    </row>
    <row r="298" spans="1:79">
      <c r="A298" s="129">
        <v>44437</v>
      </c>
      <c r="B298" s="37"/>
      <c r="C298" s="37"/>
      <c r="E298" s="119">
        <v>44433</v>
      </c>
      <c r="G298" s="80"/>
      <c r="I298" s="119">
        <v>44428</v>
      </c>
      <c r="K298" s="79"/>
      <c r="L298" s="37"/>
      <c r="M298" s="37"/>
      <c r="N298" s="117">
        <v>44423</v>
      </c>
      <c r="O298" s="37"/>
      <c r="P298" s="37"/>
      <c r="R298" s="37"/>
      <c r="S298" s="130"/>
      <c r="U298" s="152">
        <v>44437</v>
      </c>
      <c r="V298" s="37"/>
      <c r="Y298" s="117">
        <v>44437</v>
      </c>
      <c r="Z298" s="37"/>
      <c r="AA298" s="37"/>
      <c r="AC298" s="119">
        <v>44434</v>
      </c>
      <c r="AE298" s="79"/>
      <c r="AG298" s="118">
        <v>44431</v>
      </c>
      <c r="AH298" s="79">
        <v>2</v>
      </c>
      <c r="AI298" s="79"/>
      <c r="AK298" s="119">
        <v>44428</v>
      </c>
      <c r="AL298" s="146">
        <v>1</v>
      </c>
      <c r="AM298" s="148"/>
      <c r="AO298" s="152">
        <v>44443</v>
      </c>
      <c r="AP298" s="37"/>
      <c r="AQ298" s="118"/>
      <c r="AS298" s="152">
        <v>44443</v>
      </c>
      <c r="AT298" s="37"/>
      <c r="AU298" s="118"/>
      <c r="AW298" s="152">
        <v>44443</v>
      </c>
      <c r="AX298" s="37"/>
      <c r="AY298" s="118"/>
      <c r="BA298" s="152">
        <v>44443</v>
      </c>
      <c r="BB298" s="37"/>
      <c r="BC298" s="118"/>
      <c r="BE298" s="152">
        <v>44443</v>
      </c>
      <c r="BF298" s="37"/>
      <c r="BG298" s="118"/>
      <c r="BI298" s="152">
        <v>44443</v>
      </c>
      <c r="BJ298" s="37"/>
      <c r="BK298" s="118"/>
      <c r="BM298" s="152">
        <v>44443</v>
      </c>
      <c r="BN298" s="37"/>
      <c r="BO298" s="118"/>
      <c r="BQ298" s="152">
        <v>44443</v>
      </c>
      <c r="BR298" s="37"/>
      <c r="BS298" s="118"/>
      <c r="BU298" s="152">
        <v>44443</v>
      </c>
      <c r="BV298" s="37"/>
      <c r="BW298" s="118"/>
      <c r="BY298" s="152">
        <v>44443</v>
      </c>
      <c r="BZ298" s="37"/>
      <c r="CA298" s="118"/>
    </row>
    <row r="299" spans="1:79">
      <c r="A299" s="138">
        <v>44438</v>
      </c>
      <c r="B299" s="120">
        <v>1</v>
      </c>
      <c r="C299" s="80">
        <f>EDATE($A299,1)-1</f>
        <v>44468</v>
      </c>
      <c r="D299" s="119"/>
      <c r="E299" s="119">
        <v>44434</v>
      </c>
      <c r="G299" s="80"/>
      <c r="H299" s="119"/>
      <c r="I299" s="117">
        <v>44429</v>
      </c>
      <c r="J299" s="37"/>
      <c r="K299" s="79"/>
      <c r="N299" s="80">
        <v>44424</v>
      </c>
      <c r="O299" s="120">
        <v>2</v>
      </c>
      <c r="P299" s="120">
        <v>1</v>
      </c>
      <c r="Q299" s="119"/>
      <c r="R299" s="120">
        <v>5</v>
      </c>
      <c r="S299" s="125"/>
      <c r="U299" s="161">
        <v>44438</v>
      </c>
      <c r="V299" s="120">
        <v>1</v>
      </c>
      <c r="W299" s="80">
        <f>EDATE($U299,1)-$W$49</f>
        <v>44468</v>
      </c>
      <c r="X299" s="119"/>
      <c r="Y299" s="80">
        <v>44438</v>
      </c>
      <c r="Z299" s="120">
        <v>1</v>
      </c>
      <c r="AA299" s="80">
        <f>EDATE(Y299,1)-1</f>
        <v>44468</v>
      </c>
      <c r="AC299" s="119">
        <v>44435</v>
      </c>
      <c r="AE299" s="79"/>
      <c r="AG299" s="118">
        <v>44432</v>
      </c>
      <c r="AH299" s="79">
        <v>3</v>
      </c>
      <c r="AI299" s="79"/>
      <c r="AK299" s="117">
        <v>44429</v>
      </c>
      <c r="AL299" s="37"/>
      <c r="AM299" s="148"/>
      <c r="AO299" s="152">
        <v>44444</v>
      </c>
      <c r="AP299" s="37"/>
      <c r="AQ299" s="118"/>
      <c r="AS299" s="152">
        <v>44444</v>
      </c>
      <c r="AT299" s="37"/>
      <c r="AU299" s="118"/>
      <c r="AW299" s="152">
        <v>44444</v>
      </c>
      <c r="AX299" s="37"/>
      <c r="AY299" s="118"/>
      <c r="BA299" s="152">
        <v>44444</v>
      </c>
      <c r="BB299" s="37"/>
      <c r="BC299" s="118"/>
      <c r="BE299" s="152">
        <v>44444</v>
      </c>
      <c r="BF299" s="37"/>
      <c r="BG299" s="118"/>
      <c r="BI299" s="152">
        <v>44444</v>
      </c>
      <c r="BJ299" s="37"/>
      <c r="BK299" s="118"/>
      <c r="BM299" s="152">
        <v>44444</v>
      </c>
      <c r="BN299" s="37"/>
      <c r="BO299" s="118"/>
      <c r="BQ299" s="152">
        <v>44444</v>
      </c>
      <c r="BR299" s="37"/>
      <c r="BS299" s="118"/>
      <c r="BU299" s="152">
        <v>44444</v>
      </c>
      <c r="BV299" s="37"/>
      <c r="BW299" s="118"/>
      <c r="BY299" s="152">
        <v>44444</v>
      </c>
      <c r="BZ299" s="37"/>
      <c r="CA299" s="118"/>
    </row>
    <row r="300" spans="1:79">
      <c r="A300" s="133">
        <v>44439</v>
      </c>
      <c r="C300" s="120"/>
      <c r="E300" s="119">
        <v>44435</v>
      </c>
      <c r="G300" s="80"/>
      <c r="I300" s="117">
        <v>44430</v>
      </c>
      <c r="J300" s="37"/>
      <c r="K300" s="79"/>
      <c r="L300" s="119"/>
      <c r="M300" s="119"/>
      <c r="N300" s="80">
        <v>44425</v>
      </c>
      <c r="O300" s="120">
        <v>3</v>
      </c>
      <c r="P300" s="120">
        <v>2</v>
      </c>
      <c r="R300" s="120">
        <v>6</v>
      </c>
      <c r="S300" s="125"/>
      <c r="U300" s="156">
        <v>44439</v>
      </c>
      <c r="W300" s="80"/>
      <c r="Y300" s="80">
        <v>44439</v>
      </c>
      <c r="Z300" s="120">
        <v>2</v>
      </c>
      <c r="AA300" s="80"/>
      <c r="AC300" s="117">
        <v>44436</v>
      </c>
      <c r="AD300" s="37"/>
      <c r="AE300" s="79"/>
      <c r="AG300" s="118">
        <v>44433</v>
      </c>
      <c r="AH300" s="79">
        <v>4</v>
      </c>
      <c r="AI300" s="79"/>
      <c r="AK300" s="117">
        <v>44430</v>
      </c>
      <c r="AL300" s="37"/>
      <c r="AM300" s="148"/>
      <c r="AO300" s="154">
        <v>44445</v>
      </c>
      <c r="AP300" s="79">
        <v>35</v>
      </c>
      <c r="AQ300" s="118"/>
      <c r="AR300" s="119"/>
      <c r="AS300" s="154">
        <v>44445</v>
      </c>
      <c r="AT300" s="79">
        <v>71</v>
      </c>
      <c r="AU300" s="118"/>
      <c r="AW300" s="154">
        <v>44445</v>
      </c>
      <c r="AX300" s="79">
        <v>106</v>
      </c>
      <c r="AY300" s="118"/>
      <c r="BA300" s="154">
        <v>44445</v>
      </c>
      <c r="BB300" s="79">
        <v>141</v>
      </c>
      <c r="BC300" s="118"/>
      <c r="BE300" s="154">
        <v>44445</v>
      </c>
      <c r="BF300" s="79">
        <v>172</v>
      </c>
      <c r="BG300" s="118"/>
      <c r="BI300" s="154">
        <v>44445</v>
      </c>
      <c r="BJ300" s="79">
        <v>35</v>
      </c>
      <c r="BK300" s="118"/>
      <c r="BL300" s="119"/>
      <c r="BM300" s="154">
        <v>44445</v>
      </c>
      <c r="BN300" s="79">
        <v>71</v>
      </c>
      <c r="BO300" s="118"/>
      <c r="BQ300" s="154">
        <v>44445</v>
      </c>
      <c r="BR300" s="79">
        <v>106</v>
      </c>
      <c r="BS300" s="118"/>
      <c r="BU300" s="154">
        <v>44445</v>
      </c>
      <c r="BV300" s="79">
        <v>141</v>
      </c>
      <c r="BW300" s="118"/>
      <c r="BY300" s="154">
        <v>44445</v>
      </c>
      <c r="BZ300" s="79">
        <v>172</v>
      </c>
      <c r="CA300" s="118"/>
    </row>
    <row r="301" spans="1:79">
      <c r="A301" s="133">
        <v>44440</v>
      </c>
      <c r="C301" s="80"/>
      <c r="D301" s="119"/>
      <c r="E301" s="117">
        <v>44436</v>
      </c>
      <c r="F301" s="37"/>
      <c r="G301" s="80"/>
      <c r="H301" s="119"/>
      <c r="I301" s="118">
        <v>44431</v>
      </c>
      <c r="J301" s="79">
        <v>4</v>
      </c>
      <c r="K301" s="79"/>
      <c r="L301" s="119"/>
      <c r="M301" s="119"/>
      <c r="N301" s="80">
        <v>44426</v>
      </c>
      <c r="O301" s="120">
        <v>4</v>
      </c>
      <c r="P301" s="120">
        <v>3</v>
      </c>
      <c r="Q301" s="119"/>
      <c r="R301" s="79">
        <v>1</v>
      </c>
      <c r="S301" s="132"/>
      <c r="U301" s="156">
        <v>44440</v>
      </c>
      <c r="W301" s="80"/>
      <c r="X301" s="119"/>
      <c r="Y301" s="119">
        <v>44440</v>
      </c>
      <c r="AA301" s="80"/>
      <c r="AC301" s="117">
        <v>44437</v>
      </c>
      <c r="AD301" s="37"/>
      <c r="AE301" s="79"/>
      <c r="AG301" s="118">
        <v>44434</v>
      </c>
      <c r="AH301" s="79">
        <v>5</v>
      </c>
      <c r="AI301" s="79"/>
      <c r="AK301" s="118">
        <v>44431</v>
      </c>
      <c r="AL301" s="79">
        <v>2</v>
      </c>
      <c r="AM301" s="149"/>
      <c r="AO301" s="156">
        <v>44446</v>
      </c>
      <c r="AQ301" s="118"/>
      <c r="AS301" s="156">
        <v>44446</v>
      </c>
      <c r="AT301">
        <v>72</v>
      </c>
      <c r="AU301" s="118"/>
      <c r="AW301" s="156">
        <v>44446</v>
      </c>
      <c r="AX301">
        <v>107</v>
      </c>
      <c r="AY301" s="118"/>
      <c r="BA301" s="156">
        <v>44446</v>
      </c>
      <c r="BB301" s="79">
        <v>142</v>
      </c>
      <c r="BC301" s="118"/>
      <c r="BE301" s="156">
        <v>44446</v>
      </c>
      <c r="BF301" s="79">
        <v>173</v>
      </c>
      <c r="BG301" s="118"/>
      <c r="BI301" s="156">
        <v>44446</v>
      </c>
      <c r="BK301" s="118"/>
      <c r="BM301" s="156">
        <v>44446</v>
      </c>
      <c r="BN301">
        <v>72</v>
      </c>
      <c r="BO301" s="118"/>
      <c r="BQ301" s="156">
        <v>44446</v>
      </c>
      <c r="BR301">
        <v>107</v>
      </c>
      <c r="BS301" s="118"/>
      <c r="BU301" s="156">
        <v>44446</v>
      </c>
      <c r="BV301" s="79">
        <v>142</v>
      </c>
      <c r="BW301" s="118"/>
      <c r="BY301" s="156">
        <v>44446</v>
      </c>
      <c r="BZ301" s="79">
        <v>173</v>
      </c>
      <c r="CA301" s="118"/>
    </row>
    <row r="302" spans="1:79">
      <c r="A302" s="133">
        <v>44441</v>
      </c>
      <c r="C302" s="120"/>
      <c r="E302" s="117">
        <v>44437</v>
      </c>
      <c r="F302" s="37"/>
      <c r="G302" s="80"/>
      <c r="I302" s="118">
        <v>44432</v>
      </c>
      <c r="J302" s="79">
        <v>5</v>
      </c>
      <c r="K302" s="79"/>
      <c r="N302" s="80">
        <v>44427</v>
      </c>
      <c r="O302" s="120">
        <v>5</v>
      </c>
      <c r="P302" s="120">
        <v>4</v>
      </c>
      <c r="R302" s="79">
        <v>2</v>
      </c>
      <c r="S302" s="134"/>
      <c r="U302" s="156">
        <v>44441</v>
      </c>
      <c r="W302" s="80"/>
      <c r="Y302" s="119">
        <v>44441</v>
      </c>
      <c r="AA302" s="80"/>
      <c r="AC302" s="118">
        <v>44438</v>
      </c>
      <c r="AD302" s="79">
        <v>4</v>
      </c>
      <c r="AE302" s="79"/>
      <c r="AG302" s="119">
        <v>44435</v>
      </c>
      <c r="AI302" s="79"/>
      <c r="AK302" s="119">
        <v>44432</v>
      </c>
      <c r="AL302" s="79">
        <v>3</v>
      </c>
      <c r="AM302" s="149"/>
      <c r="AO302" s="156">
        <v>44447</v>
      </c>
      <c r="AQ302" s="118"/>
      <c r="AR302" s="119"/>
      <c r="AS302" s="156">
        <v>44447</v>
      </c>
      <c r="AU302" s="118"/>
      <c r="AW302" s="156">
        <v>44447</v>
      </c>
      <c r="AX302">
        <v>108</v>
      </c>
      <c r="AY302" s="118"/>
      <c r="BA302" s="156">
        <v>44447</v>
      </c>
      <c r="BB302" s="79">
        <v>143</v>
      </c>
      <c r="BC302" s="118"/>
      <c r="BE302" s="156">
        <v>44447</v>
      </c>
      <c r="BF302" s="79">
        <v>174</v>
      </c>
      <c r="BG302" s="118"/>
      <c r="BI302" s="156">
        <v>44447</v>
      </c>
      <c r="BK302" s="118"/>
      <c r="BL302" s="119"/>
      <c r="BM302" s="156">
        <v>44447</v>
      </c>
      <c r="BO302" s="118"/>
      <c r="BQ302" s="156">
        <v>44447</v>
      </c>
      <c r="BR302">
        <v>108</v>
      </c>
      <c r="BS302" s="118"/>
      <c r="BU302" s="156">
        <v>44447</v>
      </c>
      <c r="BV302" s="79">
        <v>143</v>
      </c>
      <c r="BW302" s="118"/>
      <c r="BY302" s="156">
        <v>44447</v>
      </c>
      <c r="BZ302" s="79">
        <v>174</v>
      </c>
      <c r="CA302" s="118"/>
    </row>
    <row r="303" spans="1:79">
      <c r="A303" s="133">
        <v>44442</v>
      </c>
      <c r="C303" s="120"/>
      <c r="E303" s="80">
        <v>44438</v>
      </c>
      <c r="F303" s="120">
        <v>3</v>
      </c>
      <c r="G303" s="80"/>
      <c r="I303" s="118">
        <v>44433</v>
      </c>
      <c r="J303" s="79">
        <v>6</v>
      </c>
      <c r="K303" s="79"/>
      <c r="N303" s="119">
        <v>44428</v>
      </c>
      <c r="R303" s="79">
        <v>3</v>
      </c>
      <c r="S303" s="134"/>
      <c r="U303" s="156">
        <v>44442</v>
      </c>
      <c r="W303" s="80"/>
      <c r="Y303" s="119">
        <v>44442</v>
      </c>
      <c r="AA303" s="80"/>
      <c r="AC303" s="118">
        <v>44439</v>
      </c>
      <c r="AD303" s="79">
        <v>5</v>
      </c>
      <c r="AE303" s="79"/>
      <c r="AG303" s="117">
        <v>44436</v>
      </c>
      <c r="AH303" s="37"/>
      <c r="AI303" s="79"/>
      <c r="AK303" s="119">
        <v>44433</v>
      </c>
      <c r="AL303" s="79">
        <v>4</v>
      </c>
      <c r="AM303" s="149"/>
      <c r="AO303" s="156">
        <v>44448</v>
      </c>
      <c r="AQ303" s="118"/>
      <c r="AS303" s="156">
        <v>44448</v>
      </c>
      <c r="AU303" s="118"/>
      <c r="AW303" s="156">
        <v>44448</v>
      </c>
      <c r="AY303" s="118"/>
      <c r="BA303" s="156">
        <v>44448</v>
      </c>
      <c r="BB303" s="79">
        <v>144</v>
      </c>
      <c r="BC303" s="118"/>
      <c r="BE303" s="156">
        <v>44448</v>
      </c>
      <c r="BF303" s="79">
        <v>175</v>
      </c>
      <c r="BG303" s="118"/>
      <c r="BI303" s="156">
        <v>44448</v>
      </c>
      <c r="BK303" s="118"/>
      <c r="BM303" s="156">
        <v>44448</v>
      </c>
      <c r="BO303" s="118"/>
      <c r="BQ303" s="156">
        <v>44448</v>
      </c>
      <c r="BS303" s="118"/>
      <c r="BU303" s="156">
        <v>44448</v>
      </c>
      <c r="BV303" s="79">
        <v>144</v>
      </c>
      <c r="BW303" s="118"/>
      <c r="BY303" s="156">
        <v>44448</v>
      </c>
      <c r="BZ303" s="79">
        <v>175</v>
      </c>
      <c r="CA303" s="118"/>
    </row>
    <row r="304" spans="1:79">
      <c r="A304" s="129">
        <v>44443</v>
      </c>
      <c r="B304" s="37"/>
      <c r="C304" s="120"/>
      <c r="D304" s="72"/>
      <c r="E304" s="80">
        <v>44439</v>
      </c>
      <c r="F304" s="120">
        <v>4</v>
      </c>
      <c r="G304" s="80"/>
      <c r="H304" s="72"/>
      <c r="I304" s="121" t="s">
        <v>85</v>
      </c>
      <c r="J304" s="121">
        <f>COUNTA(J294:J303)</f>
        <v>6</v>
      </c>
      <c r="K304" s="122">
        <f>IF(J304&lt;=$A$45,1,J304/$A$45)</f>
        <v>1</v>
      </c>
      <c r="L304" s="122"/>
      <c r="M304" s="122"/>
      <c r="N304" s="117">
        <v>44429</v>
      </c>
      <c r="O304" s="37"/>
      <c r="P304" s="37"/>
      <c r="Q304" s="72"/>
      <c r="R304" s="121">
        <f>COUNTA(R273:R303)</f>
        <v>23</v>
      </c>
      <c r="S304" s="137">
        <f>IF(R304&lt;=$A$45,1,R304/$A$45)</f>
        <v>3.8333333333333335</v>
      </c>
      <c r="U304" s="152">
        <v>44443</v>
      </c>
      <c r="V304" s="37"/>
      <c r="W304" s="80"/>
      <c r="X304" s="72"/>
      <c r="Y304" s="117">
        <v>44443</v>
      </c>
      <c r="Z304" s="37"/>
      <c r="AA304" s="80"/>
      <c r="AC304" s="118">
        <v>44440</v>
      </c>
      <c r="AD304" s="79">
        <v>6</v>
      </c>
      <c r="AE304" s="79"/>
      <c r="AG304" s="117">
        <v>44437</v>
      </c>
      <c r="AH304" s="37"/>
      <c r="AI304" s="79"/>
      <c r="AK304" s="119">
        <v>44434</v>
      </c>
      <c r="AL304">
        <v>5</v>
      </c>
      <c r="AM304" s="149"/>
      <c r="AO304" s="156">
        <v>44449</v>
      </c>
      <c r="AQ304" s="118"/>
      <c r="AS304" s="156">
        <v>44449</v>
      </c>
      <c r="AU304" s="118"/>
      <c r="AW304" s="156">
        <v>44449</v>
      </c>
      <c r="AY304" s="118"/>
      <c r="BA304" s="156">
        <v>44449</v>
      </c>
      <c r="BC304" s="118"/>
      <c r="BE304" s="156">
        <v>44449</v>
      </c>
      <c r="BF304" s="79">
        <v>176</v>
      </c>
      <c r="BG304" s="118"/>
      <c r="BI304" s="156">
        <v>44449</v>
      </c>
      <c r="BK304" s="118"/>
      <c r="BM304" s="156">
        <v>44449</v>
      </c>
      <c r="BO304" s="118"/>
      <c r="BQ304" s="156">
        <v>44449</v>
      </c>
      <c r="BS304" s="118"/>
      <c r="BU304" s="156">
        <v>44449</v>
      </c>
      <c r="BW304" s="118"/>
      <c r="BY304" s="156">
        <v>44449</v>
      </c>
      <c r="BZ304" s="79">
        <v>176</v>
      </c>
      <c r="CA304" s="118"/>
    </row>
    <row r="305" spans="1:79">
      <c r="A305" s="129">
        <v>44444</v>
      </c>
      <c r="B305" s="37"/>
      <c r="C305" s="120"/>
      <c r="E305" s="119">
        <v>44440</v>
      </c>
      <c r="G305" s="80"/>
      <c r="I305" s="119">
        <v>44434</v>
      </c>
      <c r="L305" s="37"/>
      <c r="M305" s="37"/>
      <c r="N305" s="117">
        <v>44430</v>
      </c>
      <c r="O305" s="37"/>
      <c r="P305" s="37"/>
      <c r="R305" s="37"/>
      <c r="S305" s="130"/>
      <c r="U305" s="152">
        <v>44444</v>
      </c>
      <c r="V305" s="37"/>
      <c r="W305" s="80"/>
      <c r="Y305" s="117">
        <v>44444</v>
      </c>
      <c r="Z305" s="37"/>
      <c r="AA305" s="80"/>
      <c r="AC305" s="119">
        <v>44441</v>
      </c>
      <c r="AE305" s="79"/>
      <c r="AG305" s="118">
        <v>44438</v>
      </c>
      <c r="AH305" s="79">
        <v>6</v>
      </c>
      <c r="AI305" s="79"/>
      <c r="AK305" s="119">
        <v>44435</v>
      </c>
      <c r="AL305" s="79">
        <v>6</v>
      </c>
      <c r="AM305" s="149"/>
      <c r="AO305" s="152">
        <v>44450</v>
      </c>
      <c r="AP305" s="37"/>
      <c r="AQ305" s="118"/>
      <c r="AR305" s="72"/>
      <c r="AS305" s="152">
        <v>44450</v>
      </c>
      <c r="AT305" s="37"/>
      <c r="AU305" s="118"/>
      <c r="AW305" s="152">
        <v>44450</v>
      </c>
      <c r="AX305" s="37"/>
      <c r="AY305" s="118"/>
      <c r="BA305" s="152">
        <v>44450</v>
      </c>
      <c r="BB305" s="37"/>
      <c r="BC305" s="118"/>
      <c r="BE305" s="152">
        <v>44450</v>
      </c>
      <c r="BF305" s="37"/>
      <c r="BG305" s="118"/>
      <c r="BI305" s="152">
        <v>44450</v>
      </c>
      <c r="BJ305" s="37"/>
      <c r="BK305" s="118"/>
      <c r="BL305" s="72"/>
      <c r="BM305" s="152">
        <v>44450</v>
      </c>
      <c r="BN305" s="37"/>
      <c r="BO305" s="118"/>
      <c r="BQ305" s="152">
        <v>44450</v>
      </c>
      <c r="BR305" s="37"/>
      <c r="BS305" s="118"/>
      <c r="BU305" s="152">
        <v>44450</v>
      </c>
      <c r="BV305" s="37"/>
      <c r="BW305" s="118"/>
      <c r="BY305" s="152">
        <v>44450</v>
      </c>
      <c r="BZ305" s="37"/>
      <c r="CA305" s="118"/>
    </row>
    <row r="306" spans="1:79">
      <c r="A306" s="138">
        <v>44445</v>
      </c>
      <c r="B306" s="120">
        <v>2</v>
      </c>
      <c r="C306" s="120"/>
      <c r="E306" s="119">
        <v>44441</v>
      </c>
      <c r="G306" s="80"/>
      <c r="I306" s="119">
        <v>44435</v>
      </c>
      <c r="L306" s="37"/>
      <c r="M306" s="37"/>
      <c r="N306" s="80">
        <v>44431</v>
      </c>
      <c r="O306" s="120">
        <v>6</v>
      </c>
      <c r="P306" s="120">
        <v>1</v>
      </c>
      <c r="R306" s="37"/>
      <c r="S306" s="130"/>
      <c r="U306" s="161">
        <v>44445</v>
      </c>
      <c r="V306" s="120">
        <v>2</v>
      </c>
      <c r="W306" s="80"/>
      <c r="Y306" s="80">
        <v>44445</v>
      </c>
      <c r="Z306" s="120">
        <v>3</v>
      </c>
      <c r="AA306" s="80"/>
      <c r="AC306" s="119">
        <v>44442</v>
      </c>
      <c r="AE306" s="79"/>
      <c r="AG306" s="118">
        <v>44439</v>
      </c>
      <c r="AH306" s="79">
        <v>7</v>
      </c>
      <c r="AI306" s="79"/>
      <c r="AK306" s="117">
        <v>44436</v>
      </c>
      <c r="AL306" s="37"/>
      <c r="AM306" s="149"/>
      <c r="AO306" s="152">
        <v>44451</v>
      </c>
      <c r="AP306" s="37"/>
      <c r="AQ306" s="118"/>
      <c r="AS306" s="152">
        <v>44451</v>
      </c>
      <c r="AT306" s="37"/>
      <c r="AU306" s="118"/>
      <c r="AW306" s="152">
        <v>44451</v>
      </c>
      <c r="AX306" s="37"/>
      <c r="AY306" s="118"/>
      <c r="BA306" s="152">
        <v>44451</v>
      </c>
      <c r="BB306" s="37"/>
      <c r="BC306" s="118"/>
      <c r="BE306" s="152">
        <v>44451</v>
      </c>
      <c r="BF306" s="37"/>
      <c r="BG306" s="118"/>
      <c r="BI306" s="152">
        <v>44451</v>
      </c>
      <c r="BJ306" s="37"/>
      <c r="BK306" s="118"/>
      <c r="BM306" s="152">
        <v>44451</v>
      </c>
      <c r="BN306" s="37"/>
      <c r="BO306" s="118"/>
      <c r="BQ306" s="152">
        <v>44451</v>
      </c>
      <c r="BR306" s="37"/>
      <c r="BS306" s="118"/>
      <c r="BU306" s="152">
        <v>44451</v>
      </c>
      <c r="BV306" s="37"/>
      <c r="BW306" s="118"/>
      <c r="BY306" s="152">
        <v>44451</v>
      </c>
      <c r="BZ306" s="37"/>
      <c r="CA306" s="118"/>
    </row>
    <row r="307" spans="1:79">
      <c r="A307" s="133">
        <v>44446</v>
      </c>
      <c r="C307" s="80"/>
      <c r="E307" s="119">
        <v>44442</v>
      </c>
      <c r="G307" s="80"/>
      <c r="I307" s="117">
        <v>44436</v>
      </c>
      <c r="J307" s="37"/>
      <c r="K307" s="37"/>
      <c r="N307" s="121" t="s">
        <v>85</v>
      </c>
      <c r="O307" s="121">
        <f>COUNTA(O295:O306)</f>
        <v>6</v>
      </c>
      <c r="P307" s="122">
        <f>IF(O307&lt;=$A$45,1,O307/$A$45)</f>
        <v>1</v>
      </c>
      <c r="R307" s="79">
        <v>4</v>
      </c>
      <c r="S307" s="134"/>
      <c r="U307" s="156">
        <v>44446</v>
      </c>
      <c r="W307" s="80"/>
      <c r="Y307" s="80">
        <v>44446</v>
      </c>
      <c r="Z307" s="120">
        <v>4</v>
      </c>
      <c r="AA307" s="80"/>
      <c r="AC307" s="117">
        <v>44443</v>
      </c>
      <c r="AD307" s="37"/>
      <c r="AE307" s="79"/>
      <c r="AG307" s="118">
        <v>44440</v>
      </c>
      <c r="AH307" s="79">
        <v>8</v>
      </c>
      <c r="AI307" s="79"/>
      <c r="AK307" s="117">
        <v>44437</v>
      </c>
      <c r="AL307" s="37"/>
      <c r="AM307" s="149"/>
      <c r="AO307" s="154">
        <v>44452</v>
      </c>
      <c r="AP307" s="79">
        <v>36</v>
      </c>
      <c r="AQ307" s="118"/>
      <c r="AS307" s="154">
        <v>44452</v>
      </c>
      <c r="AT307" s="79">
        <v>73</v>
      </c>
      <c r="AU307" s="118"/>
      <c r="AW307" s="154">
        <v>44452</v>
      </c>
      <c r="AX307" s="79">
        <v>109</v>
      </c>
      <c r="AY307" s="118"/>
      <c r="BA307" s="154">
        <v>44452</v>
      </c>
      <c r="BB307" s="79">
        <v>145</v>
      </c>
      <c r="BC307" s="118"/>
      <c r="BE307" s="154">
        <v>44452</v>
      </c>
      <c r="BF307" s="79">
        <v>177</v>
      </c>
      <c r="BG307" s="118"/>
      <c r="BI307" s="154">
        <v>44452</v>
      </c>
      <c r="BJ307" s="79">
        <v>36</v>
      </c>
      <c r="BK307" s="118"/>
      <c r="BM307" s="154">
        <v>44452</v>
      </c>
      <c r="BN307" s="79">
        <v>73</v>
      </c>
      <c r="BO307" s="118"/>
      <c r="BQ307" s="154">
        <v>44452</v>
      </c>
      <c r="BR307" s="79">
        <v>109</v>
      </c>
      <c r="BS307" s="118"/>
      <c r="BU307" s="154">
        <v>44452</v>
      </c>
      <c r="BV307" s="79">
        <v>145</v>
      </c>
      <c r="BW307" s="118"/>
      <c r="BY307" s="154">
        <v>44452</v>
      </c>
      <c r="BZ307" s="79">
        <v>177</v>
      </c>
      <c r="CA307" s="118"/>
    </row>
    <row r="308" spans="1:79">
      <c r="A308" s="133">
        <v>44447</v>
      </c>
      <c r="C308" s="120"/>
      <c r="D308" s="119"/>
      <c r="E308" s="117">
        <v>44443</v>
      </c>
      <c r="F308" s="37"/>
      <c r="G308" s="80"/>
      <c r="H308" s="119"/>
      <c r="I308" s="117">
        <v>44437</v>
      </c>
      <c r="J308" s="37"/>
      <c r="K308" s="37"/>
      <c r="L308" s="119"/>
      <c r="M308" s="119"/>
      <c r="N308" s="118">
        <v>44432</v>
      </c>
      <c r="O308" s="79">
        <v>1</v>
      </c>
      <c r="P308" s="79">
        <v>2</v>
      </c>
      <c r="Q308" s="119"/>
      <c r="R308" s="79">
        <v>5</v>
      </c>
      <c r="S308" s="134"/>
      <c r="U308" s="156">
        <v>44447</v>
      </c>
      <c r="W308" s="80"/>
      <c r="X308" s="119"/>
      <c r="Y308" s="119">
        <v>44447</v>
      </c>
      <c r="AA308" s="80"/>
      <c r="AC308" s="117">
        <v>44444</v>
      </c>
      <c r="AD308" s="37"/>
      <c r="AE308" s="79"/>
      <c r="AG308" s="118">
        <v>44441</v>
      </c>
      <c r="AH308" s="79">
        <v>9</v>
      </c>
      <c r="AI308" s="79"/>
      <c r="AK308" s="118">
        <v>44438</v>
      </c>
      <c r="AL308" s="79">
        <v>7</v>
      </c>
      <c r="AM308" s="149"/>
      <c r="AO308" s="156">
        <v>44453</v>
      </c>
      <c r="AQ308" s="118"/>
      <c r="AS308" s="156">
        <v>44453</v>
      </c>
      <c r="AT308">
        <v>74</v>
      </c>
      <c r="AU308" s="118"/>
      <c r="AW308" s="156">
        <v>44453</v>
      </c>
      <c r="AX308">
        <v>110</v>
      </c>
      <c r="AY308" s="118"/>
      <c r="BA308" s="156">
        <v>44453</v>
      </c>
      <c r="BB308" s="79">
        <v>146</v>
      </c>
      <c r="BC308" s="118"/>
      <c r="BE308" s="156">
        <v>44453</v>
      </c>
      <c r="BF308" s="79">
        <v>178</v>
      </c>
      <c r="BG308" s="118"/>
      <c r="BI308" s="156">
        <v>44453</v>
      </c>
      <c r="BK308" s="118"/>
      <c r="BM308" s="156">
        <v>44453</v>
      </c>
      <c r="BN308">
        <v>74</v>
      </c>
      <c r="BO308" s="118"/>
      <c r="BQ308" s="156">
        <v>44453</v>
      </c>
      <c r="BR308">
        <v>110</v>
      </c>
      <c r="BS308" s="118"/>
      <c r="BU308" s="156">
        <v>44453</v>
      </c>
      <c r="BV308" s="79">
        <v>146</v>
      </c>
      <c r="BW308" s="118"/>
      <c r="BY308" s="156">
        <v>44453</v>
      </c>
      <c r="BZ308" s="79">
        <v>178</v>
      </c>
      <c r="CA308" s="118"/>
    </row>
    <row r="309" spans="1:79">
      <c r="A309" s="133">
        <v>44448</v>
      </c>
      <c r="C309" s="80"/>
      <c r="E309" s="117">
        <v>44444</v>
      </c>
      <c r="F309" s="37"/>
      <c r="G309" s="80"/>
      <c r="I309" s="80">
        <v>44438</v>
      </c>
      <c r="J309" s="120">
        <v>1</v>
      </c>
      <c r="K309" s="80"/>
      <c r="N309" s="118">
        <v>44433</v>
      </c>
      <c r="O309" s="79">
        <v>2</v>
      </c>
      <c r="P309" s="79">
        <v>3</v>
      </c>
      <c r="R309" s="79">
        <v>6</v>
      </c>
      <c r="S309" s="134"/>
      <c r="U309" s="156">
        <v>44448</v>
      </c>
      <c r="W309" s="80"/>
      <c r="Y309" s="119">
        <v>44448</v>
      </c>
      <c r="AA309" s="80"/>
      <c r="AC309" s="118">
        <v>44445</v>
      </c>
      <c r="AD309" s="79">
        <v>7</v>
      </c>
      <c r="AE309" s="79"/>
      <c r="AG309" s="119">
        <v>44442</v>
      </c>
      <c r="AI309" s="79"/>
      <c r="AK309" s="119">
        <v>44439</v>
      </c>
      <c r="AL309" s="79">
        <v>8</v>
      </c>
      <c r="AM309" s="149"/>
      <c r="AO309" s="156">
        <v>44454</v>
      </c>
      <c r="AQ309" s="118"/>
      <c r="AR309" s="119"/>
      <c r="AS309" s="156">
        <v>44454</v>
      </c>
      <c r="AU309" s="118"/>
      <c r="AW309" s="156">
        <v>44454</v>
      </c>
      <c r="AX309">
        <v>111</v>
      </c>
      <c r="AY309" s="118"/>
      <c r="BA309" s="156">
        <v>44454</v>
      </c>
      <c r="BB309" s="79">
        <v>147</v>
      </c>
      <c r="BC309" s="118"/>
      <c r="BE309" s="156">
        <v>44454</v>
      </c>
      <c r="BF309" s="79">
        <v>179</v>
      </c>
      <c r="BG309" s="118"/>
      <c r="BI309" s="156">
        <v>44454</v>
      </c>
      <c r="BK309" s="118"/>
      <c r="BL309" s="119"/>
      <c r="BM309" s="156">
        <v>44454</v>
      </c>
      <c r="BO309" s="118"/>
      <c r="BQ309" s="156">
        <v>44454</v>
      </c>
      <c r="BR309">
        <v>111</v>
      </c>
      <c r="BS309" s="118"/>
      <c r="BU309" s="156">
        <v>44454</v>
      </c>
      <c r="BV309" s="79">
        <v>147</v>
      </c>
      <c r="BW309" s="118"/>
      <c r="BY309" s="156">
        <v>44454</v>
      </c>
      <c r="BZ309" s="79">
        <v>179</v>
      </c>
      <c r="CA309" s="118"/>
    </row>
    <row r="310" spans="1:79">
      <c r="A310" s="133">
        <v>44449</v>
      </c>
      <c r="C310" s="120"/>
      <c r="D310" s="119"/>
      <c r="E310" s="80">
        <v>44445</v>
      </c>
      <c r="F310" s="120">
        <v>5</v>
      </c>
      <c r="G310" s="80"/>
      <c r="H310" s="119"/>
      <c r="I310" s="80">
        <v>44439</v>
      </c>
      <c r="J310" s="120">
        <v>2</v>
      </c>
      <c r="K310" s="80"/>
      <c r="L310" s="119"/>
      <c r="M310" s="119"/>
      <c r="N310" s="118">
        <v>44434</v>
      </c>
      <c r="O310" s="79">
        <v>3</v>
      </c>
      <c r="P310" s="79">
        <v>4</v>
      </c>
      <c r="Q310" s="119"/>
      <c r="R310" s="120">
        <v>1</v>
      </c>
      <c r="S310" s="135"/>
      <c r="U310" s="156">
        <v>44449</v>
      </c>
      <c r="W310" s="80"/>
      <c r="X310" s="119"/>
      <c r="Y310" s="119">
        <v>44449</v>
      </c>
      <c r="AA310" s="80"/>
      <c r="AC310" s="118">
        <v>44446</v>
      </c>
      <c r="AD310" s="79">
        <v>8</v>
      </c>
      <c r="AE310" s="79"/>
      <c r="AG310" s="117">
        <v>44443</v>
      </c>
      <c r="AH310" s="37"/>
      <c r="AI310" s="79"/>
      <c r="AK310" s="119">
        <v>44440</v>
      </c>
      <c r="AL310" s="79">
        <v>9</v>
      </c>
      <c r="AM310" s="149"/>
      <c r="AO310" s="156">
        <v>44455</v>
      </c>
      <c r="AQ310" s="118"/>
      <c r="AS310" s="156">
        <v>44455</v>
      </c>
      <c r="AU310" s="118"/>
      <c r="AW310" s="156">
        <v>44455</v>
      </c>
      <c r="AY310" s="118"/>
      <c r="BA310" s="156">
        <v>44455</v>
      </c>
      <c r="BB310" s="79">
        <v>148</v>
      </c>
      <c r="BC310" s="118"/>
      <c r="BE310" s="156">
        <v>44455</v>
      </c>
      <c r="BF310" s="79">
        <v>180</v>
      </c>
      <c r="BG310" s="118"/>
      <c r="BI310" s="156">
        <v>44455</v>
      </c>
      <c r="BK310" s="118"/>
      <c r="BM310" s="156">
        <v>44455</v>
      </c>
      <c r="BO310" s="118"/>
      <c r="BQ310" s="156">
        <v>44455</v>
      </c>
      <c r="BS310" s="118"/>
      <c r="BU310" s="156">
        <v>44455</v>
      </c>
      <c r="BV310" s="79">
        <v>148</v>
      </c>
      <c r="BW310" s="118"/>
      <c r="BY310" s="156">
        <v>44455</v>
      </c>
      <c r="BZ310" s="79">
        <v>180</v>
      </c>
      <c r="CA310" s="118"/>
    </row>
    <row r="311" spans="1:79">
      <c r="A311" s="129">
        <v>44450</v>
      </c>
      <c r="B311" s="37"/>
      <c r="C311" s="120"/>
      <c r="E311" s="80">
        <v>44446</v>
      </c>
      <c r="F311" s="120">
        <v>6</v>
      </c>
      <c r="G311" s="80"/>
      <c r="I311" s="80">
        <v>44440</v>
      </c>
      <c r="J311" s="120">
        <v>3</v>
      </c>
      <c r="K311" s="80"/>
      <c r="N311" s="119">
        <v>44435</v>
      </c>
      <c r="R311" s="120">
        <v>2</v>
      </c>
      <c r="S311" s="125"/>
      <c r="U311" s="152">
        <v>44450</v>
      </c>
      <c r="V311" s="37"/>
      <c r="W311" s="80"/>
      <c r="Y311" s="117">
        <v>44450</v>
      </c>
      <c r="Z311" s="37"/>
      <c r="AA311" s="80"/>
      <c r="AC311" s="118">
        <v>44447</v>
      </c>
      <c r="AD311" s="79">
        <v>9</v>
      </c>
      <c r="AE311" s="79"/>
      <c r="AG311" s="117">
        <v>44444</v>
      </c>
      <c r="AH311" s="37"/>
      <c r="AI311" s="79"/>
      <c r="AK311" s="119">
        <v>44441</v>
      </c>
      <c r="AL311" s="79">
        <v>10</v>
      </c>
      <c r="AM311" s="149"/>
      <c r="AO311" s="156">
        <v>44456</v>
      </c>
      <c r="AQ311" s="118"/>
      <c r="AR311" s="119"/>
      <c r="AS311" s="156">
        <v>44456</v>
      </c>
      <c r="AU311" s="118"/>
      <c r="AW311" s="156">
        <v>44456</v>
      </c>
      <c r="AY311" s="118"/>
      <c r="BA311" s="156">
        <v>44456</v>
      </c>
      <c r="BC311" s="118"/>
      <c r="BE311" s="156">
        <v>44456</v>
      </c>
      <c r="BF311" s="79">
        <v>181</v>
      </c>
      <c r="BG311" s="118"/>
      <c r="BI311" s="156">
        <v>44456</v>
      </c>
      <c r="BK311" s="118"/>
      <c r="BL311" s="119"/>
      <c r="BM311" s="156">
        <v>44456</v>
      </c>
      <c r="BO311" s="118"/>
      <c r="BQ311" s="156">
        <v>44456</v>
      </c>
      <c r="BS311" s="118"/>
      <c r="BU311" s="156">
        <v>44456</v>
      </c>
      <c r="BW311" s="118"/>
      <c r="BY311" s="156">
        <v>44456</v>
      </c>
      <c r="BZ311" s="79">
        <v>181</v>
      </c>
      <c r="CA311" s="118"/>
    </row>
    <row r="312" spans="1:79">
      <c r="A312" s="129">
        <v>44451</v>
      </c>
      <c r="B312" s="37"/>
      <c r="C312" s="120"/>
      <c r="E312" s="121" t="s">
        <v>85</v>
      </c>
      <c r="F312" s="121">
        <f>COUNTA(F296:F311)</f>
        <v>6</v>
      </c>
      <c r="G312" s="122">
        <f>IF(F312&lt;=$A$45,1,F312/$A$45)</f>
        <v>1</v>
      </c>
      <c r="I312" s="119">
        <v>44441</v>
      </c>
      <c r="K312" s="80"/>
      <c r="L312" s="37"/>
      <c r="M312" s="37"/>
      <c r="N312" s="117">
        <v>44436</v>
      </c>
      <c r="O312" s="37"/>
      <c r="P312" s="37"/>
      <c r="R312" s="37"/>
      <c r="S312" s="130"/>
      <c r="U312" s="152">
        <v>44451</v>
      </c>
      <c r="V312" s="37"/>
      <c r="W312" s="80"/>
      <c r="Y312" s="117">
        <v>44451</v>
      </c>
      <c r="Z312" s="37"/>
      <c r="AA312" s="80"/>
      <c r="AC312" s="119">
        <v>44448</v>
      </c>
      <c r="AE312" s="79"/>
      <c r="AG312" s="118">
        <v>44445</v>
      </c>
      <c r="AH312" s="79">
        <v>10</v>
      </c>
      <c r="AI312" s="79"/>
      <c r="AK312" s="121" t="s">
        <v>85</v>
      </c>
      <c r="AL312" s="121">
        <f>COUNTA(AL298:AL311)</f>
        <v>10</v>
      </c>
      <c r="AM312" s="158">
        <f>IF(AL312&lt;=$U$45,1,AL312/$U$45)</f>
        <v>1</v>
      </c>
      <c r="AO312" s="152">
        <v>44457</v>
      </c>
      <c r="AP312" s="37"/>
      <c r="AQ312" s="118"/>
      <c r="AS312" s="152">
        <v>44457</v>
      </c>
      <c r="AT312" s="37"/>
      <c r="AU312" s="118"/>
      <c r="AW312" s="152">
        <v>44457</v>
      </c>
      <c r="AX312" s="37"/>
      <c r="AY312" s="118"/>
      <c r="BA312" s="152">
        <v>44457</v>
      </c>
      <c r="BB312" s="37"/>
      <c r="BC312" s="118"/>
      <c r="BE312" s="152">
        <v>44457</v>
      </c>
      <c r="BF312" s="37"/>
      <c r="BG312" s="118"/>
      <c r="BI312" s="152">
        <v>44457</v>
      </c>
      <c r="BJ312" s="37"/>
      <c r="BK312" s="118"/>
      <c r="BM312" s="152">
        <v>44457</v>
      </c>
      <c r="BN312" s="37"/>
      <c r="BO312" s="118"/>
      <c r="BQ312" s="152">
        <v>44457</v>
      </c>
      <c r="BR312" s="37"/>
      <c r="BS312" s="118"/>
      <c r="BU312" s="152">
        <v>44457</v>
      </c>
      <c r="BV312" s="37"/>
      <c r="BW312" s="118"/>
      <c r="BY312" s="152">
        <v>44457</v>
      </c>
      <c r="BZ312" s="37"/>
      <c r="CA312" s="118"/>
    </row>
    <row r="313" spans="1:79">
      <c r="A313" s="138">
        <v>44452</v>
      </c>
      <c r="B313" s="120">
        <v>3</v>
      </c>
      <c r="C313" s="80"/>
      <c r="E313" s="119">
        <v>44447</v>
      </c>
      <c r="I313" s="119">
        <v>44442</v>
      </c>
      <c r="K313" s="80"/>
      <c r="L313" s="37"/>
      <c r="M313" s="37"/>
      <c r="N313" s="117">
        <v>44437</v>
      </c>
      <c r="O313" s="37"/>
      <c r="P313" s="37"/>
      <c r="R313" s="37"/>
      <c r="S313" s="130"/>
      <c r="U313" s="161">
        <v>44452</v>
      </c>
      <c r="V313" s="120">
        <v>3</v>
      </c>
      <c r="W313" s="80"/>
      <c r="Y313" s="80">
        <v>44452</v>
      </c>
      <c r="Z313" s="120">
        <v>5</v>
      </c>
      <c r="AA313" s="80"/>
      <c r="AC313" s="119">
        <v>44449</v>
      </c>
      <c r="AE313" s="79"/>
      <c r="AG313" s="121" t="s">
        <v>85</v>
      </c>
      <c r="AH313" s="121">
        <f>COUNTA(AH294:AH312)</f>
        <v>10</v>
      </c>
      <c r="AI313" s="122">
        <f>IF(AH313&lt;=$U$45,1,AH313/$U$45)</f>
        <v>1</v>
      </c>
      <c r="AK313" s="119">
        <v>44442</v>
      </c>
      <c r="AL313" s="79">
        <v>1</v>
      </c>
      <c r="AM313" s="149"/>
      <c r="AO313" s="152">
        <v>44458</v>
      </c>
      <c r="AP313" s="37"/>
      <c r="AQ313" s="118"/>
      <c r="AS313" s="152">
        <v>44458</v>
      </c>
      <c r="AT313" s="37"/>
      <c r="AU313" s="118"/>
      <c r="AW313" s="152">
        <v>44458</v>
      </c>
      <c r="AX313" s="37"/>
      <c r="AY313" s="118"/>
      <c r="BA313" s="152">
        <v>44458</v>
      </c>
      <c r="BB313" s="37"/>
      <c r="BC313" s="118"/>
      <c r="BE313" s="152">
        <v>44458</v>
      </c>
      <c r="BF313" s="37"/>
      <c r="BG313" s="118"/>
      <c r="BI313" s="152">
        <v>44458</v>
      </c>
      <c r="BJ313" s="37"/>
      <c r="BK313" s="118"/>
      <c r="BM313" s="152">
        <v>44458</v>
      </c>
      <c r="BN313" s="37"/>
      <c r="BO313" s="118"/>
      <c r="BQ313" s="152">
        <v>44458</v>
      </c>
      <c r="BR313" s="37"/>
      <c r="BS313" s="118"/>
      <c r="BU313" s="152">
        <v>44458</v>
      </c>
      <c r="BV313" s="37"/>
      <c r="BW313" s="118"/>
      <c r="BY313" s="152">
        <v>44458</v>
      </c>
      <c r="BZ313" s="37"/>
      <c r="CA313" s="118"/>
    </row>
    <row r="314" spans="1:79">
      <c r="A314" s="133">
        <v>44453</v>
      </c>
      <c r="C314" s="120"/>
      <c r="D314" s="119"/>
      <c r="E314" s="119">
        <v>44448</v>
      </c>
      <c r="H314" s="119"/>
      <c r="I314" s="117">
        <v>44443</v>
      </c>
      <c r="J314" s="37"/>
      <c r="K314" s="80"/>
      <c r="L314" s="119"/>
      <c r="M314" s="119"/>
      <c r="N314" s="118">
        <v>44438</v>
      </c>
      <c r="O314" s="79">
        <v>4</v>
      </c>
      <c r="P314" s="79">
        <v>1</v>
      </c>
      <c r="Q314" s="119"/>
      <c r="R314" s="120">
        <v>3</v>
      </c>
      <c r="S314" s="125"/>
      <c r="U314" s="156">
        <v>44453</v>
      </c>
      <c r="W314" s="80"/>
      <c r="Y314" s="80">
        <v>44453</v>
      </c>
      <c r="Z314" s="120">
        <v>6</v>
      </c>
      <c r="AA314" s="80"/>
      <c r="AC314" s="117">
        <v>44450</v>
      </c>
      <c r="AD314" s="37"/>
      <c r="AE314" s="79"/>
      <c r="AG314" s="118">
        <v>44446</v>
      </c>
      <c r="AH314" s="79">
        <v>1</v>
      </c>
      <c r="AI314" s="79"/>
      <c r="AK314" s="117">
        <v>44443</v>
      </c>
      <c r="AL314" s="37"/>
      <c r="AM314" s="149"/>
      <c r="AO314" s="154">
        <v>44459</v>
      </c>
      <c r="AP314" s="79">
        <v>37</v>
      </c>
      <c r="AQ314" s="118"/>
      <c r="AS314" s="154">
        <v>44459</v>
      </c>
      <c r="AT314" s="79">
        <v>75</v>
      </c>
      <c r="AU314" s="118"/>
      <c r="AW314" s="154">
        <v>44459</v>
      </c>
      <c r="AX314" s="79">
        <v>112</v>
      </c>
      <c r="AY314" s="118"/>
      <c r="BA314" s="154">
        <v>44459</v>
      </c>
      <c r="BB314" s="79">
        <v>149</v>
      </c>
      <c r="BC314" s="118"/>
      <c r="BE314" s="154">
        <v>44459</v>
      </c>
      <c r="BF314" s="79">
        <v>182</v>
      </c>
      <c r="BG314" s="118"/>
      <c r="BI314" s="154">
        <v>44459</v>
      </c>
      <c r="BJ314" s="79">
        <v>37</v>
      </c>
      <c r="BK314" s="118"/>
      <c r="BM314" s="154">
        <v>44459</v>
      </c>
      <c r="BN314" s="79">
        <v>75</v>
      </c>
      <c r="BO314" s="118"/>
      <c r="BQ314" s="154">
        <v>44459</v>
      </c>
      <c r="BR314" s="79">
        <v>112</v>
      </c>
      <c r="BS314" s="118"/>
      <c r="BU314" s="154">
        <v>44459</v>
      </c>
      <c r="BV314" s="79">
        <v>149</v>
      </c>
      <c r="BW314" s="118"/>
      <c r="BY314" s="154">
        <v>44459</v>
      </c>
      <c r="BZ314" s="79">
        <v>182</v>
      </c>
      <c r="CA314" s="118"/>
    </row>
    <row r="315" spans="1:79">
      <c r="A315" s="133">
        <v>44454</v>
      </c>
      <c r="C315" s="120"/>
      <c r="E315" s="119">
        <v>44449</v>
      </c>
      <c r="I315" s="117">
        <v>44444</v>
      </c>
      <c r="J315" s="37"/>
      <c r="K315" s="80"/>
      <c r="N315" s="118">
        <v>44439</v>
      </c>
      <c r="O315" s="79">
        <v>5</v>
      </c>
      <c r="P315" s="79">
        <v>2</v>
      </c>
      <c r="R315" s="120">
        <v>4</v>
      </c>
      <c r="S315" s="125"/>
      <c r="U315" s="156">
        <v>44454</v>
      </c>
      <c r="W315" s="80"/>
      <c r="Y315" s="119">
        <v>44454</v>
      </c>
      <c r="AA315" s="80"/>
      <c r="AC315" s="117">
        <v>44451</v>
      </c>
      <c r="AD315" s="37"/>
      <c r="AE315" s="79"/>
      <c r="AG315" s="118">
        <v>44447</v>
      </c>
      <c r="AH315" s="79">
        <v>2</v>
      </c>
      <c r="AI315" s="79"/>
      <c r="AK315" s="117">
        <v>44444</v>
      </c>
      <c r="AL315" s="37"/>
      <c r="AM315" s="149"/>
      <c r="AO315" s="156">
        <v>44460</v>
      </c>
      <c r="AQ315" s="118"/>
      <c r="AS315" s="156">
        <v>44460</v>
      </c>
      <c r="AT315">
        <v>76</v>
      </c>
      <c r="AU315" s="118"/>
      <c r="AW315" s="156">
        <v>44460</v>
      </c>
      <c r="AX315">
        <v>113</v>
      </c>
      <c r="AY315" s="118"/>
      <c r="BA315" s="156">
        <v>44460</v>
      </c>
      <c r="BB315" s="79">
        <v>150</v>
      </c>
      <c r="BC315" s="118"/>
      <c r="BE315" s="156">
        <v>44460</v>
      </c>
      <c r="BF315" s="79">
        <v>183</v>
      </c>
      <c r="BG315" s="118"/>
      <c r="BI315" s="156">
        <v>44460</v>
      </c>
      <c r="BK315" s="118"/>
      <c r="BM315" s="156">
        <v>44460</v>
      </c>
      <c r="BN315">
        <v>76</v>
      </c>
      <c r="BO315" s="118"/>
      <c r="BQ315" s="156">
        <v>44460</v>
      </c>
      <c r="BR315">
        <v>113</v>
      </c>
      <c r="BS315" s="118"/>
      <c r="BU315" s="156">
        <v>44460</v>
      </c>
      <c r="BV315" s="79">
        <v>150</v>
      </c>
      <c r="BW315" s="118"/>
      <c r="BY315" s="156">
        <v>44460</v>
      </c>
      <c r="BZ315" s="79">
        <v>183</v>
      </c>
      <c r="CA315" s="118"/>
    </row>
    <row r="316" spans="1:79">
      <c r="A316" s="133">
        <v>44455</v>
      </c>
      <c r="C316" s="120"/>
      <c r="E316" s="117">
        <v>44450</v>
      </c>
      <c r="F316" s="37"/>
      <c r="G316" s="37"/>
      <c r="I316" s="80">
        <v>44445</v>
      </c>
      <c r="J316" s="120">
        <v>4</v>
      </c>
      <c r="K316" s="80"/>
      <c r="N316" s="118">
        <v>44440</v>
      </c>
      <c r="O316" s="79">
        <v>6</v>
      </c>
      <c r="P316" s="79">
        <v>3</v>
      </c>
      <c r="R316" s="120">
        <v>5</v>
      </c>
      <c r="S316" s="125"/>
      <c r="U316" s="156">
        <v>44455</v>
      </c>
      <c r="W316" s="80"/>
      <c r="Y316" s="119">
        <v>44455</v>
      </c>
      <c r="AA316" s="80"/>
      <c r="AC316" s="118">
        <v>44452</v>
      </c>
      <c r="AD316" s="79">
        <v>10</v>
      </c>
      <c r="AE316" s="79"/>
      <c r="AG316" s="118">
        <v>44448</v>
      </c>
      <c r="AH316" s="79">
        <v>3</v>
      </c>
      <c r="AI316" s="79"/>
      <c r="AK316" s="118">
        <v>44445</v>
      </c>
      <c r="AL316" s="79">
        <v>2</v>
      </c>
      <c r="AM316" s="149"/>
      <c r="AO316" s="156">
        <v>44461</v>
      </c>
      <c r="AQ316" s="118"/>
      <c r="AS316" s="156">
        <v>44461</v>
      </c>
      <c r="AU316" s="118"/>
      <c r="AW316" s="156">
        <v>44461</v>
      </c>
      <c r="AX316">
        <v>114</v>
      </c>
      <c r="AY316" s="118"/>
      <c r="BA316" s="156">
        <v>44461</v>
      </c>
      <c r="BB316" s="79">
        <v>151</v>
      </c>
      <c r="BC316" s="118"/>
      <c r="BE316" s="156">
        <v>44461</v>
      </c>
      <c r="BF316" s="79">
        <v>184</v>
      </c>
      <c r="BG316" s="118"/>
      <c r="BI316" s="156">
        <v>44461</v>
      </c>
      <c r="BK316" s="118"/>
      <c r="BM316" s="156">
        <v>44461</v>
      </c>
      <c r="BO316" s="118"/>
      <c r="BQ316" s="156">
        <v>44461</v>
      </c>
      <c r="BR316">
        <v>114</v>
      </c>
      <c r="BS316" s="118"/>
      <c r="BU316" s="156">
        <v>44461</v>
      </c>
      <c r="BV316" s="79">
        <v>151</v>
      </c>
      <c r="BW316" s="118"/>
      <c r="BY316" s="156">
        <v>44461</v>
      </c>
      <c r="BZ316" s="79">
        <v>184</v>
      </c>
      <c r="CA316" s="118"/>
    </row>
    <row r="317" spans="1:79">
      <c r="A317" s="133">
        <v>44456</v>
      </c>
      <c r="C317" s="80"/>
      <c r="E317" s="117">
        <v>44451</v>
      </c>
      <c r="F317" s="37"/>
      <c r="G317" s="37"/>
      <c r="I317" s="80">
        <v>44446</v>
      </c>
      <c r="J317" s="120">
        <v>5</v>
      </c>
      <c r="K317" s="80"/>
      <c r="N317" s="121" t="s">
        <v>85</v>
      </c>
      <c r="O317" s="121">
        <f>COUNTA(O308:O316)</f>
        <v>6</v>
      </c>
      <c r="P317" s="122">
        <f>IF(O317&lt;=$A$45,1,O317/$A$45)</f>
        <v>1</v>
      </c>
      <c r="R317" s="120">
        <v>6</v>
      </c>
      <c r="S317" s="125"/>
      <c r="U317" s="156">
        <v>44456</v>
      </c>
      <c r="W317" s="80"/>
      <c r="X317" s="119"/>
      <c r="Y317" s="119">
        <v>44456</v>
      </c>
      <c r="AA317" s="80"/>
      <c r="AC317" s="121" t="s">
        <v>85</v>
      </c>
      <c r="AD317" s="121">
        <f>COUNTA(AD295:AD316)</f>
        <v>10</v>
      </c>
      <c r="AE317" s="122">
        <f>IF(AD317&lt;=$U$45,1,AD317/$U$45)</f>
        <v>1</v>
      </c>
      <c r="AG317" s="119">
        <v>44449</v>
      </c>
      <c r="AI317" s="118"/>
      <c r="AK317" s="119">
        <v>44446</v>
      </c>
      <c r="AL317" s="79">
        <v>3</v>
      </c>
      <c r="AM317" s="149"/>
      <c r="AO317" s="156">
        <v>44462</v>
      </c>
      <c r="AQ317" s="118"/>
      <c r="AS317" s="156">
        <v>44462</v>
      </c>
      <c r="AU317" s="118"/>
      <c r="AW317" s="156">
        <v>44462</v>
      </c>
      <c r="AY317" s="118"/>
      <c r="BA317" s="156">
        <v>44462</v>
      </c>
      <c r="BB317" s="79">
        <v>152</v>
      </c>
      <c r="BC317" s="118"/>
      <c r="BE317" s="156">
        <v>44462</v>
      </c>
      <c r="BF317" s="79">
        <v>185</v>
      </c>
      <c r="BG317" s="118"/>
      <c r="BI317" s="156">
        <v>44462</v>
      </c>
      <c r="BK317" s="118"/>
      <c r="BM317" s="156">
        <v>44462</v>
      </c>
      <c r="BO317" s="118"/>
      <c r="BQ317" s="156">
        <v>44462</v>
      </c>
      <c r="BS317" s="118"/>
      <c r="BU317" s="156">
        <v>44462</v>
      </c>
      <c r="BV317" s="79">
        <v>152</v>
      </c>
      <c r="BW317" s="118"/>
      <c r="BY317" s="156">
        <v>44462</v>
      </c>
      <c r="BZ317" s="79">
        <v>185</v>
      </c>
      <c r="CA317" s="118"/>
    </row>
    <row r="318" spans="1:79">
      <c r="A318" s="129">
        <v>44457</v>
      </c>
      <c r="B318" s="37"/>
      <c r="C318" s="120"/>
      <c r="D318" s="119"/>
      <c r="E318" s="118">
        <v>44452</v>
      </c>
      <c r="F318" s="79">
        <v>1</v>
      </c>
      <c r="G318" s="118"/>
      <c r="H318" s="119"/>
      <c r="I318" s="80">
        <v>44447</v>
      </c>
      <c r="J318" s="120">
        <v>6</v>
      </c>
      <c r="K318" s="80"/>
      <c r="L318" s="119"/>
      <c r="M318" s="119"/>
      <c r="N318" s="80">
        <v>44441</v>
      </c>
      <c r="O318" s="120">
        <v>1</v>
      </c>
      <c r="P318" s="120">
        <v>4</v>
      </c>
      <c r="Q318" s="119"/>
      <c r="R318" s="79">
        <v>1</v>
      </c>
      <c r="S318" s="132"/>
      <c r="U318" s="152">
        <v>44457</v>
      </c>
      <c r="V318" s="37"/>
      <c r="W318" s="80"/>
      <c r="X318" s="119"/>
      <c r="Y318" s="117">
        <v>44457</v>
      </c>
      <c r="Z318" s="37"/>
      <c r="AA318" s="80"/>
      <c r="AC318" s="80">
        <v>44453</v>
      </c>
      <c r="AD318" s="120">
        <v>1</v>
      </c>
      <c r="AE318" s="80"/>
      <c r="AG318" s="117">
        <v>44450</v>
      </c>
      <c r="AH318" s="37"/>
      <c r="AI318" s="118"/>
      <c r="AK318" s="119">
        <v>44447</v>
      </c>
      <c r="AL318" s="79">
        <v>4</v>
      </c>
      <c r="AM318" s="149"/>
      <c r="AO318" s="156">
        <v>44463</v>
      </c>
      <c r="AQ318" s="118"/>
      <c r="AR318" s="119"/>
      <c r="AS318" s="156">
        <v>44463</v>
      </c>
      <c r="AU318" s="118"/>
      <c r="AW318" s="156">
        <v>44463</v>
      </c>
      <c r="AY318" s="118"/>
      <c r="BA318" s="156">
        <v>44463</v>
      </c>
      <c r="BC318" s="118"/>
      <c r="BE318" s="156">
        <v>44463</v>
      </c>
      <c r="BF318" s="79">
        <v>186</v>
      </c>
      <c r="BG318" s="118"/>
      <c r="BI318" s="156">
        <v>44463</v>
      </c>
      <c r="BK318" s="118"/>
      <c r="BL318" s="119"/>
      <c r="BM318" s="156">
        <v>44463</v>
      </c>
      <c r="BO318" s="118"/>
      <c r="BQ318" s="156">
        <v>44463</v>
      </c>
      <c r="BS318" s="118"/>
      <c r="BU318" s="156">
        <v>44463</v>
      </c>
      <c r="BW318" s="118"/>
      <c r="BY318" s="156">
        <v>44463</v>
      </c>
      <c r="BZ318" s="79">
        <v>186</v>
      </c>
      <c r="CA318" s="118"/>
    </row>
    <row r="319" spans="1:79">
      <c r="A319" s="129">
        <v>44458</v>
      </c>
      <c r="B319" s="37"/>
      <c r="C319" s="120"/>
      <c r="E319" s="118">
        <v>44453</v>
      </c>
      <c r="F319" s="79">
        <v>2</v>
      </c>
      <c r="G319" s="118"/>
      <c r="I319" s="121" t="s">
        <v>85</v>
      </c>
      <c r="J319" s="121">
        <f>COUNTA(J309:J318)</f>
        <v>6</v>
      </c>
      <c r="K319" s="122">
        <f>IF(J319&lt;=$A$45,1,J319/$A$45)</f>
        <v>1</v>
      </c>
      <c r="L319" s="37"/>
      <c r="M319" s="37"/>
      <c r="N319" s="119">
        <v>44442</v>
      </c>
      <c r="R319" s="37"/>
      <c r="S319" s="130"/>
      <c r="U319" s="152">
        <v>44458</v>
      </c>
      <c r="V319" s="37"/>
      <c r="W319" s="80"/>
      <c r="Y319" s="117">
        <v>44458</v>
      </c>
      <c r="Z319" s="37"/>
      <c r="AA319" s="80"/>
      <c r="AC319" s="80">
        <v>44454</v>
      </c>
      <c r="AD319" s="120">
        <v>2</v>
      </c>
      <c r="AE319" s="80"/>
      <c r="AG319" s="117">
        <v>44451</v>
      </c>
      <c r="AH319" s="37"/>
      <c r="AI319" s="118"/>
      <c r="AK319" s="119">
        <v>44448</v>
      </c>
      <c r="AL319" s="79">
        <v>5</v>
      </c>
      <c r="AM319" s="149"/>
      <c r="AO319" s="152">
        <v>44464</v>
      </c>
      <c r="AP319" s="37"/>
      <c r="AQ319" s="118"/>
      <c r="AR319" s="119"/>
      <c r="AS319" s="152">
        <v>44464</v>
      </c>
      <c r="AT319" s="37"/>
      <c r="AU319" s="118"/>
      <c r="AW319" s="152">
        <v>44464</v>
      </c>
      <c r="AX319" s="37"/>
      <c r="AY319" s="118"/>
      <c r="BA319" s="152">
        <v>44464</v>
      </c>
      <c r="BB319" s="37"/>
      <c r="BC319" s="118"/>
      <c r="BE319" s="152">
        <v>44464</v>
      </c>
      <c r="BF319" s="37"/>
      <c r="BG319" s="118"/>
      <c r="BI319" s="152">
        <v>44464</v>
      </c>
      <c r="BJ319" s="37"/>
      <c r="BK319" s="118"/>
      <c r="BL319" s="119"/>
      <c r="BM319" s="152">
        <v>44464</v>
      </c>
      <c r="BN319" s="37"/>
      <c r="BO319" s="118"/>
      <c r="BQ319" s="152">
        <v>44464</v>
      </c>
      <c r="BR319" s="37"/>
      <c r="BS319" s="118"/>
      <c r="BU319" s="152">
        <v>44464</v>
      </c>
      <c r="BV319" s="37"/>
      <c r="BW319" s="118"/>
      <c r="BY319" s="152">
        <v>44464</v>
      </c>
      <c r="BZ319" s="37"/>
      <c r="CA319" s="118"/>
    </row>
    <row r="320" spans="1:79">
      <c r="A320" s="138">
        <v>44459</v>
      </c>
      <c r="B320" s="120">
        <v>4</v>
      </c>
      <c r="C320" s="120"/>
      <c r="E320" s="119">
        <v>44454</v>
      </c>
      <c r="G320" s="118"/>
      <c r="I320" s="119">
        <v>44448</v>
      </c>
      <c r="K320" s="119"/>
      <c r="L320" s="37"/>
      <c r="M320" s="37"/>
      <c r="N320" s="117">
        <v>44443</v>
      </c>
      <c r="O320" s="37"/>
      <c r="P320" s="37"/>
      <c r="R320" s="37"/>
      <c r="S320" s="130"/>
      <c r="U320" s="161">
        <v>44459</v>
      </c>
      <c r="V320" s="120">
        <v>4</v>
      </c>
      <c r="W320" s="80"/>
      <c r="Y320" s="80">
        <v>44459</v>
      </c>
      <c r="Z320" s="120">
        <v>7</v>
      </c>
      <c r="AA320" s="80"/>
      <c r="AC320" s="119">
        <v>44455</v>
      </c>
      <c r="AE320" s="80"/>
      <c r="AG320" s="118">
        <v>44452</v>
      </c>
      <c r="AH320" s="79">
        <v>4</v>
      </c>
      <c r="AI320" s="118"/>
      <c r="AK320" s="119">
        <v>44449</v>
      </c>
      <c r="AL320" s="79">
        <v>6</v>
      </c>
      <c r="AM320" s="148"/>
      <c r="AO320" s="152">
        <v>44465</v>
      </c>
      <c r="AP320" s="37"/>
      <c r="AQ320" s="118"/>
      <c r="AS320" s="152">
        <v>44465</v>
      </c>
      <c r="AT320" s="37"/>
      <c r="AU320" s="118"/>
      <c r="AW320" s="152">
        <v>44465</v>
      </c>
      <c r="AX320" s="37"/>
      <c r="AY320" s="118"/>
      <c r="BA320" s="152">
        <v>44465</v>
      </c>
      <c r="BB320" s="37"/>
      <c r="BC320" s="118"/>
      <c r="BE320" s="152">
        <v>44465</v>
      </c>
      <c r="BF320" s="37"/>
      <c r="BG320" s="118"/>
      <c r="BI320" s="152">
        <v>44465</v>
      </c>
      <c r="BJ320" s="37"/>
      <c r="BK320" s="118"/>
      <c r="BM320" s="152">
        <v>44465</v>
      </c>
      <c r="BN320" s="37"/>
      <c r="BO320" s="118"/>
      <c r="BQ320" s="152">
        <v>44465</v>
      </c>
      <c r="BR320" s="37"/>
      <c r="BS320" s="118"/>
      <c r="BU320" s="152">
        <v>44465</v>
      </c>
      <c r="BV320" s="37"/>
      <c r="BW320" s="118"/>
      <c r="BY320" s="152">
        <v>44465</v>
      </c>
      <c r="BZ320" s="37"/>
      <c r="CA320" s="118"/>
    </row>
    <row r="321" spans="1:79">
      <c r="A321" s="133">
        <v>44460</v>
      </c>
      <c r="C321" s="120"/>
      <c r="E321" s="119">
        <v>44455</v>
      </c>
      <c r="G321" s="118"/>
      <c r="I321" s="119">
        <v>44449</v>
      </c>
      <c r="N321" s="117">
        <v>44444</v>
      </c>
      <c r="O321" s="37"/>
      <c r="P321" s="37"/>
      <c r="R321" s="79">
        <v>2</v>
      </c>
      <c r="S321" s="134"/>
      <c r="U321" s="156">
        <v>44460</v>
      </c>
      <c r="W321" s="80"/>
      <c r="Y321" s="80">
        <v>44460</v>
      </c>
      <c r="Z321" s="120">
        <v>8</v>
      </c>
      <c r="AA321" s="80"/>
      <c r="AC321" s="119">
        <v>44456</v>
      </c>
      <c r="AE321" s="80"/>
      <c r="AG321" s="118">
        <v>44453</v>
      </c>
      <c r="AH321" s="79">
        <v>5</v>
      </c>
      <c r="AI321" s="118"/>
      <c r="AK321" s="117">
        <v>44450</v>
      </c>
      <c r="AL321" s="37"/>
      <c r="AM321" s="148"/>
      <c r="AO321" s="154">
        <v>44466</v>
      </c>
      <c r="AP321" s="79">
        <v>38</v>
      </c>
      <c r="AQ321" s="118"/>
      <c r="AS321" s="154">
        <v>44466</v>
      </c>
      <c r="AT321" s="79">
        <v>77</v>
      </c>
      <c r="AU321" s="118"/>
      <c r="AW321" s="154">
        <v>44466</v>
      </c>
      <c r="AX321" s="79">
        <v>115</v>
      </c>
      <c r="AY321" s="118"/>
      <c r="BA321" s="154">
        <v>44466</v>
      </c>
      <c r="BB321" s="79">
        <v>153</v>
      </c>
      <c r="BC321" s="118"/>
      <c r="BE321" s="154">
        <v>44466</v>
      </c>
      <c r="BF321" s="79">
        <v>187</v>
      </c>
      <c r="BG321" s="118"/>
      <c r="BI321" s="154">
        <v>44466</v>
      </c>
      <c r="BJ321" s="79">
        <v>38</v>
      </c>
      <c r="BK321" s="118"/>
      <c r="BM321" s="154">
        <v>44466</v>
      </c>
      <c r="BN321" s="79">
        <v>77</v>
      </c>
      <c r="BO321" s="118"/>
      <c r="BQ321" s="154">
        <v>44466</v>
      </c>
      <c r="BR321" s="79">
        <v>115</v>
      </c>
      <c r="BS321" s="118"/>
      <c r="BU321" s="154">
        <v>44466</v>
      </c>
      <c r="BV321" s="79">
        <v>153</v>
      </c>
      <c r="BW321" s="118"/>
      <c r="BY321" s="154">
        <v>44466</v>
      </c>
      <c r="BZ321" s="79">
        <v>187</v>
      </c>
      <c r="CA321" s="118"/>
    </row>
    <row r="322" spans="1:79">
      <c r="A322" s="133">
        <v>44461</v>
      </c>
      <c r="C322" s="120"/>
      <c r="E322" s="119">
        <v>44456</v>
      </c>
      <c r="G322" s="118"/>
      <c r="I322" s="117">
        <v>44450</v>
      </c>
      <c r="J322" s="37"/>
      <c r="K322" s="37"/>
      <c r="N322" s="80">
        <v>44445</v>
      </c>
      <c r="O322" s="120">
        <v>2</v>
      </c>
      <c r="P322" s="120">
        <v>1</v>
      </c>
      <c r="R322" s="79">
        <v>3</v>
      </c>
      <c r="S322" s="134"/>
      <c r="U322" s="156">
        <v>44461</v>
      </c>
      <c r="W322" s="80"/>
      <c r="Y322" s="119">
        <v>44461</v>
      </c>
      <c r="AA322" s="80"/>
      <c r="AC322" s="117">
        <v>44457</v>
      </c>
      <c r="AD322" s="37"/>
      <c r="AE322" s="80"/>
      <c r="AG322" s="118">
        <v>44454</v>
      </c>
      <c r="AH322" s="79">
        <v>6</v>
      </c>
      <c r="AI322" s="118"/>
      <c r="AK322" s="117">
        <v>44451</v>
      </c>
      <c r="AL322" s="37"/>
      <c r="AM322" s="148"/>
      <c r="AO322" s="156">
        <v>44467</v>
      </c>
      <c r="AQ322" s="118"/>
      <c r="AS322" s="156">
        <v>44467</v>
      </c>
      <c r="AT322">
        <v>78</v>
      </c>
      <c r="AU322" s="118"/>
      <c r="AW322" s="156">
        <v>44467</v>
      </c>
      <c r="AX322">
        <v>116</v>
      </c>
      <c r="AY322" s="118"/>
      <c r="BA322" s="156">
        <v>44467</v>
      </c>
      <c r="BB322" s="79">
        <v>154</v>
      </c>
      <c r="BC322" s="118"/>
      <c r="BE322" s="156">
        <v>44467</v>
      </c>
      <c r="BF322" s="79">
        <v>188</v>
      </c>
      <c r="BG322" s="118"/>
      <c r="BI322" s="156">
        <v>44467</v>
      </c>
      <c r="BK322" s="118"/>
      <c r="BM322" s="156">
        <v>44467</v>
      </c>
      <c r="BN322">
        <v>78</v>
      </c>
      <c r="BO322" s="118"/>
      <c r="BQ322" s="156">
        <v>44467</v>
      </c>
      <c r="BR322">
        <v>116</v>
      </c>
      <c r="BS322" s="118"/>
      <c r="BU322" s="156">
        <v>44467</v>
      </c>
      <c r="BV322" s="79">
        <v>154</v>
      </c>
      <c r="BW322" s="118"/>
      <c r="BY322" s="156">
        <v>44467</v>
      </c>
      <c r="BZ322" s="79">
        <v>188</v>
      </c>
      <c r="CA322" s="118"/>
    </row>
    <row r="323" spans="1:79">
      <c r="A323" s="133">
        <v>44462</v>
      </c>
      <c r="C323" s="120"/>
      <c r="E323" s="117">
        <v>44457</v>
      </c>
      <c r="F323" s="37"/>
      <c r="G323" s="118"/>
      <c r="I323" s="117">
        <v>44451</v>
      </c>
      <c r="J323" s="37"/>
      <c r="K323" s="37"/>
      <c r="N323" s="80">
        <v>44446</v>
      </c>
      <c r="O323" s="120">
        <v>3</v>
      </c>
      <c r="P323" s="120">
        <v>2</v>
      </c>
      <c r="R323" s="79">
        <v>4</v>
      </c>
      <c r="S323" s="134"/>
      <c r="U323" s="156">
        <v>44462</v>
      </c>
      <c r="W323" s="80"/>
      <c r="Y323" s="119">
        <v>44462</v>
      </c>
      <c r="AA323" s="80"/>
      <c r="AC323" s="117">
        <v>44458</v>
      </c>
      <c r="AD323" s="37"/>
      <c r="AE323" s="80"/>
      <c r="AG323" s="118">
        <v>44455</v>
      </c>
      <c r="AH323" s="79">
        <v>7</v>
      </c>
      <c r="AI323" s="118"/>
      <c r="AK323" s="118">
        <v>44452</v>
      </c>
      <c r="AL323" s="79">
        <v>7</v>
      </c>
      <c r="AM323" s="149"/>
      <c r="AO323" s="156">
        <v>44468</v>
      </c>
      <c r="AQ323" s="118"/>
      <c r="AS323" s="156">
        <v>44468</v>
      </c>
      <c r="AU323" s="118"/>
      <c r="AW323" s="156">
        <v>44468</v>
      </c>
      <c r="AX323">
        <v>117</v>
      </c>
      <c r="AY323" s="118"/>
      <c r="BA323" s="156">
        <v>44468</v>
      </c>
      <c r="BB323" s="79">
        <v>155</v>
      </c>
      <c r="BC323" s="118"/>
      <c r="BE323" s="156">
        <v>44468</v>
      </c>
      <c r="BF323" s="79">
        <v>189</v>
      </c>
      <c r="BG323" s="118"/>
      <c r="BI323" s="156">
        <v>44468</v>
      </c>
      <c r="BK323" s="118"/>
      <c r="BM323" s="156">
        <v>44468</v>
      </c>
      <c r="BO323" s="118"/>
      <c r="BQ323" s="156">
        <v>44468</v>
      </c>
      <c r="BR323">
        <v>117</v>
      </c>
      <c r="BS323" s="118"/>
      <c r="BU323" s="156">
        <v>44468</v>
      </c>
      <c r="BV323" s="79">
        <v>155</v>
      </c>
      <c r="BW323" s="118"/>
      <c r="BY323" s="156">
        <v>44468</v>
      </c>
      <c r="BZ323" s="79">
        <v>189</v>
      </c>
      <c r="CA323" s="118"/>
    </row>
    <row r="324" spans="1:79">
      <c r="A324" s="133">
        <v>44463</v>
      </c>
      <c r="C324" s="120"/>
      <c r="E324" s="117">
        <v>44458</v>
      </c>
      <c r="F324" s="37"/>
      <c r="G324" s="118"/>
      <c r="I324" s="118">
        <v>44452</v>
      </c>
      <c r="J324" s="79">
        <v>1</v>
      </c>
      <c r="K324" s="118"/>
      <c r="N324" s="80">
        <v>44447</v>
      </c>
      <c r="O324" s="120">
        <v>4</v>
      </c>
      <c r="P324" s="120">
        <v>3</v>
      </c>
      <c r="R324" s="79">
        <v>5</v>
      </c>
      <c r="S324" s="134"/>
      <c r="U324" s="156">
        <v>44463</v>
      </c>
      <c r="W324" s="80"/>
      <c r="Y324" s="119">
        <v>44463</v>
      </c>
      <c r="AA324" s="80"/>
      <c r="AC324" s="80">
        <v>44459</v>
      </c>
      <c r="AD324" s="120">
        <v>3</v>
      </c>
      <c r="AE324" s="80"/>
      <c r="AG324" s="119">
        <v>44456</v>
      </c>
      <c r="AI324" s="118"/>
      <c r="AK324" s="119">
        <v>44453</v>
      </c>
      <c r="AL324" s="79">
        <v>8</v>
      </c>
      <c r="AM324" s="149"/>
      <c r="AO324" s="156">
        <v>44469</v>
      </c>
      <c r="AQ324" s="118"/>
      <c r="AS324" s="156">
        <v>44469</v>
      </c>
      <c r="AU324" s="118"/>
      <c r="AW324" s="156">
        <v>44469</v>
      </c>
      <c r="AY324" s="118"/>
      <c r="BA324" s="156">
        <v>44469</v>
      </c>
      <c r="BB324" s="79">
        <v>156</v>
      </c>
      <c r="BC324" s="118"/>
      <c r="BE324" s="156">
        <v>44469</v>
      </c>
      <c r="BF324" s="79">
        <v>190</v>
      </c>
      <c r="BG324" s="118"/>
      <c r="BI324" s="156">
        <v>44469</v>
      </c>
      <c r="BK324" s="118"/>
      <c r="BM324" s="156">
        <v>44469</v>
      </c>
      <c r="BO324" s="118"/>
      <c r="BQ324" s="156">
        <v>44469</v>
      </c>
      <c r="BS324" s="118"/>
      <c r="BU324" s="156">
        <v>44469</v>
      </c>
      <c r="BV324" s="79">
        <v>156</v>
      </c>
      <c r="BW324" s="118"/>
      <c r="BY324" s="156">
        <v>44469</v>
      </c>
      <c r="BZ324" s="79">
        <v>190</v>
      </c>
      <c r="CA324" s="118"/>
    </row>
    <row r="325" spans="1:79">
      <c r="A325" s="129">
        <v>44464</v>
      </c>
      <c r="B325" s="37"/>
      <c r="C325" s="120"/>
      <c r="E325" s="118">
        <v>44459</v>
      </c>
      <c r="F325" s="79">
        <v>3</v>
      </c>
      <c r="G325" s="118"/>
      <c r="I325" s="118">
        <v>44453</v>
      </c>
      <c r="J325" s="79">
        <v>2</v>
      </c>
      <c r="K325" s="79"/>
      <c r="N325" s="80">
        <v>44448</v>
      </c>
      <c r="O325" s="120">
        <v>5</v>
      </c>
      <c r="P325" s="120">
        <v>4</v>
      </c>
      <c r="R325" s="79">
        <v>6</v>
      </c>
      <c r="S325" s="134"/>
      <c r="U325" s="152">
        <v>44464</v>
      </c>
      <c r="V325" s="37"/>
      <c r="W325" s="80"/>
      <c r="Y325" s="117">
        <v>44464</v>
      </c>
      <c r="Z325" s="37"/>
      <c r="AA325" s="80"/>
      <c r="AC325" s="80">
        <v>44460</v>
      </c>
      <c r="AD325" s="120">
        <v>4</v>
      </c>
      <c r="AE325" s="80"/>
      <c r="AG325" s="117">
        <v>44457</v>
      </c>
      <c r="AH325" s="37"/>
      <c r="AI325" s="118"/>
      <c r="AK325" s="119">
        <v>44454</v>
      </c>
      <c r="AL325" s="79">
        <v>9</v>
      </c>
      <c r="AM325" s="149"/>
      <c r="AO325" s="156">
        <v>44470</v>
      </c>
      <c r="AQ325" s="118"/>
      <c r="AS325" s="156">
        <v>44470</v>
      </c>
      <c r="AU325" s="118"/>
      <c r="AW325" s="156">
        <v>44470</v>
      </c>
      <c r="AY325" s="118"/>
      <c r="BA325" s="156">
        <v>44470</v>
      </c>
      <c r="BC325" s="118"/>
      <c r="BE325" s="156">
        <v>44470</v>
      </c>
      <c r="BF325" s="79">
        <v>191</v>
      </c>
      <c r="BG325" s="118"/>
      <c r="BI325" s="156">
        <v>44470</v>
      </c>
      <c r="BK325" s="118"/>
      <c r="BM325" s="156">
        <v>44470</v>
      </c>
      <c r="BO325" s="118"/>
      <c r="BQ325" s="156">
        <v>44470</v>
      </c>
      <c r="BS325" s="118"/>
      <c r="BU325" s="156">
        <v>44470</v>
      </c>
      <c r="BW325" s="118"/>
      <c r="BY325" s="156">
        <v>44470</v>
      </c>
      <c r="BZ325" s="79">
        <v>191</v>
      </c>
      <c r="CA325" s="118"/>
    </row>
    <row r="326" spans="1:79">
      <c r="A326" s="129">
        <v>44465</v>
      </c>
      <c r="B326" s="37"/>
      <c r="C326" s="120"/>
      <c r="E326" s="118">
        <v>44460</v>
      </c>
      <c r="F326" s="79">
        <v>4</v>
      </c>
      <c r="G326" s="118"/>
      <c r="I326" s="118">
        <v>44454</v>
      </c>
      <c r="J326" s="79">
        <v>3</v>
      </c>
      <c r="K326" s="79"/>
      <c r="L326" s="37"/>
      <c r="M326" s="37"/>
      <c r="N326" s="119">
        <v>44449</v>
      </c>
      <c r="R326" s="37"/>
      <c r="S326" s="130"/>
      <c r="U326" s="152">
        <v>44465</v>
      </c>
      <c r="V326" s="37"/>
      <c r="W326" s="80"/>
      <c r="Y326" s="117">
        <v>44465</v>
      </c>
      <c r="Z326" s="37"/>
      <c r="AA326" s="80"/>
      <c r="AC326" s="80">
        <v>44461</v>
      </c>
      <c r="AD326" s="120">
        <v>5</v>
      </c>
      <c r="AE326" s="80"/>
      <c r="AG326" s="117">
        <v>44458</v>
      </c>
      <c r="AH326" s="37"/>
      <c r="AI326" s="118"/>
      <c r="AK326" s="119">
        <v>44455</v>
      </c>
      <c r="AL326" s="79">
        <v>10</v>
      </c>
      <c r="AM326" s="149"/>
      <c r="AO326" s="152">
        <v>44471</v>
      </c>
      <c r="AP326" s="37"/>
      <c r="AQ326" s="118"/>
      <c r="AS326" s="152">
        <v>44471</v>
      </c>
      <c r="AT326" s="37"/>
      <c r="AU326" s="118"/>
      <c r="AW326" s="152">
        <v>44471</v>
      </c>
      <c r="AX326" s="37"/>
      <c r="AY326" s="118"/>
      <c r="BA326" s="152">
        <v>44471</v>
      </c>
      <c r="BB326" s="37"/>
      <c r="BC326" s="118"/>
      <c r="BE326" s="152">
        <v>44471</v>
      </c>
      <c r="BF326" s="37"/>
      <c r="BG326" s="118"/>
      <c r="BI326" s="152">
        <v>44471</v>
      </c>
      <c r="BJ326" s="37"/>
      <c r="BK326" s="118"/>
      <c r="BM326" s="152">
        <v>44471</v>
      </c>
      <c r="BN326" s="37"/>
      <c r="BO326" s="118"/>
      <c r="BQ326" s="152">
        <v>44471</v>
      </c>
      <c r="BR326" s="37"/>
      <c r="BS326" s="118"/>
      <c r="BU326" s="152">
        <v>44471</v>
      </c>
      <c r="BV326" s="37"/>
      <c r="BW326" s="118"/>
      <c r="BY326" s="152">
        <v>44471</v>
      </c>
      <c r="BZ326" s="37"/>
      <c r="CA326" s="118"/>
    </row>
    <row r="327" spans="1:79">
      <c r="A327" s="138">
        <v>44466</v>
      </c>
      <c r="B327" s="120">
        <v>5</v>
      </c>
      <c r="C327" s="80"/>
      <c r="E327" s="119">
        <v>44461</v>
      </c>
      <c r="G327" s="118"/>
      <c r="I327" s="119">
        <v>44455</v>
      </c>
      <c r="K327" s="79"/>
      <c r="L327" s="37"/>
      <c r="M327" s="37"/>
      <c r="N327" s="117">
        <v>44450</v>
      </c>
      <c r="O327" s="37"/>
      <c r="P327" s="37"/>
      <c r="R327" s="37"/>
      <c r="S327" s="130"/>
      <c r="U327" s="161">
        <v>44466</v>
      </c>
      <c r="V327" s="120">
        <v>5</v>
      </c>
      <c r="W327" s="80"/>
      <c r="Y327" s="80">
        <v>44466</v>
      </c>
      <c r="Z327" s="120">
        <v>9</v>
      </c>
      <c r="AA327" s="80"/>
      <c r="AC327" s="119">
        <v>44462</v>
      </c>
      <c r="AE327" s="80"/>
      <c r="AG327" s="118">
        <v>44459</v>
      </c>
      <c r="AH327" s="79">
        <v>8</v>
      </c>
      <c r="AI327" s="79"/>
      <c r="AK327" s="121" t="s">
        <v>85</v>
      </c>
      <c r="AL327" s="121">
        <f>COUNTA(AL313:AL326)</f>
        <v>10</v>
      </c>
      <c r="AM327" s="158">
        <f>IF(AL327&lt;=$U$45,1,AL327/$U$45)</f>
        <v>1</v>
      </c>
      <c r="AO327" s="152">
        <v>44472</v>
      </c>
      <c r="AP327" s="37"/>
      <c r="AQ327" s="118"/>
      <c r="AS327" s="152">
        <v>44472</v>
      </c>
      <c r="AT327" s="37"/>
      <c r="AU327" s="118"/>
      <c r="AW327" s="152">
        <v>44472</v>
      </c>
      <c r="AX327" s="37"/>
      <c r="AY327" s="118"/>
      <c r="BA327" s="152">
        <v>44472</v>
      </c>
      <c r="BB327" s="37"/>
      <c r="BC327" s="118"/>
      <c r="BE327" s="152">
        <v>44472</v>
      </c>
      <c r="BF327" s="37"/>
      <c r="BG327" s="118"/>
      <c r="BI327" s="152">
        <v>44472</v>
      </c>
      <c r="BJ327" s="37"/>
      <c r="BK327" s="118"/>
      <c r="BM327" s="152">
        <v>44472</v>
      </c>
      <c r="BN327" s="37"/>
      <c r="BO327" s="118"/>
      <c r="BQ327" s="152">
        <v>44472</v>
      </c>
      <c r="BR327" s="37"/>
      <c r="BS327" s="118"/>
      <c r="BU327" s="152">
        <v>44472</v>
      </c>
      <c r="BV327" s="37"/>
      <c r="BW327" s="118"/>
      <c r="BY327" s="152">
        <v>44472</v>
      </c>
      <c r="BZ327" s="37"/>
      <c r="CA327" s="118"/>
    </row>
    <row r="328" spans="1:79">
      <c r="A328" s="133">
        <v>44467</v>
      </c>
      <c r="C328" s="80"/>
      <c r="D328" s="119"/>
      <c r="E328" s="119">
        <v>44462</v>
      </c>
      <c r="G328" s="118"/>
      <c r="H328" s="119"/>
      <c r="I328" s="119">
        <v>44456</v>
      </c>
      <c r="K328" s="79"/>
      <c r="L328" s="119"/>
      <c r="M328" s="119"/>
      <c r="N328" s="117">
        <v>44451</v>
      </c>
      <c r="O328" s="37"/>
      <c r="P328" s="37"/>
      <c r="Q328" s="119"/>
      <c r="R328" s="120">
        <v>1</v>
      </c>
      <c r="S328" s="135"/>
      <c r="U328" s="156">
        <v>44467</v>
      </c>
      <c r="W328" s="80"/>
      <c r="X328" s="119"/>
      <c r="Y328" s="80">
        <v>44467</v>
      </c>
      <c r="Z328" s="120">
        <v>10</v>
      </c>
      <c r="AA328" s="80"/>
      <c r="AC328" s="119">
        <v>44463</v>
      </c>
      <c r="AE328" s="80"/>
      <c r="AG328" s="118">
        <v>44460</v>
      </c>
      <c r="AH328" s="79">
        <v>9</v>
      </c>
      <c r="AI328" s="79"/>
      <c r="AK328" s="119">
        <v>44456</v>
      </c>
      <c r="AL328" s="79">
        <v>1</v>
      </c>
      <c r="AM328" s="148"/>
      <c r="AO328" s="154">
        <v>44473</v>
      </c>
      <c r="AP328" s="79">
        <v>39</v>
      </c>
      <c r="AQ328" s="118"/>
      <c r="AS328" s="154">
        <v>44473</v>
      </c>
      <c r="AT328" s="79">
        <v>79</v>
      </c>
      <c r="AU328" s="118"/>
      <c r="AW328" s="154">
        <v>44473</v>
      </c>
      <c r="AX328" s="79">
        <v>119</v>
      </c>
      <c r="AY328" s="118"/>
      <c r="BA328" s="154">
        <v>44473</v>
      </c>
      <c r="BB328" s="79">
        <v>157</v>
      </c>
      <c r="BC328" s="118"/>
      <c r="BE328" s="154">
        <v>44473</v>
      </c>
      <c r="BF328" s="79">
        <v>192</v>
      </c>
      <c r="BG328" s="118"/>
      <c r="BI328" s="154">
        <v>44473</v>
      </c>
      <c r="BJ328" s="79">
        <v>39</v>
      </c>
      <c r="BK328" s="118"/>
      <c r="BM328" s="154">
        <v>44473</v>
      </c>
      <c r="BN328" s="79">
        <v>79</v>
      </c>
      <c r="BO328" s="118"/>
      <c r="BQ328" s="154">
        <v>44473</v>
      </c>
      <c r="BR328" s="79">
        <v>119</v>
      </c>
      <c r="BS328" s="118"/>
      <c r="BU328" s="154">
        <v>44473</v>
      </c>
      <c r="BV328" s="79">
        <v>157</v>
      </c>
      <c r="BW328" s="118"/>
      <c r="BY328" s="154">
        <v>44473</v>
      </c>
      <c r="BZ328" s="79">
        <v>192</v>
      </c>
      <c r="CA328" s="118"/>
    </row>
    <row r="329" spans="1:79">
      <c r="A329" s="133">
        <v>44468</v>
      </c>
      <c r="C329" s="120"/>
      <c r="D329" s="119"/>
      <c r="E329" s="119">
        <v>44463</v>
      </c>
      <c r="G329" s="118"/>
      <c r="H329" s="119"/>
      <c r="I329" s="117">
        <v>44457</v>
      </c>
      <c r="J329" s="37"/>
      <c r="K329" s="79"/>
      <c r="L329" s="119"/>
      <c r="M329" s="119"/>
      <c r="N329" s="80">
        <v>44452</v>
      </c>
      <c r="O329" s="120">
        <v>6</v>
      </c>
      <c r="P329" s="120">
        <v>1</v>
      </c>
      <c r="Q329" s="119"/>
      <c r="R329" s="120">
        <v>2</v>
      </c>
      <c r="S329" s="125"/>
      <c r="U329" s="156">
        <v>44468</v>
      </c>
      <c r="W329" s="80"/>
      <c r="Y329" s="119">
        <v>44468</v>
      </c>
      <c r="AA329" s="80"/>
      <c r="AC329" s="117">
        <v>44464</v>
      </c>
      <c r="AD329" s="37"/>
      <c r="AE329" s="80"/>
      <c r="AG329" s="118">
        <v>44461</v>
      </c>
      <c r="AH329" s="79">
        <v>10</v>
      </c>
      <c r="AI329" s="79"/>
      <c r="AK329" s="117">
        <v>44457</v>
      </c>
      <c r="AL329" s="37"/>
      <c r="AM329" s="148"/>
      <c r="AO329" s="156">
        <v>44474</v>
      </c>
      <c r="AQ329" s="118"/>
      <c r="AR329" s="119"/>
      <c r="AS329" s="156">
        <v>44474</v>
      </c>
      <c r="AT329">
        <v>80</v>
      </c>
      <c r="AU329" s="118"/>
      <c r="AW329" s="156">
        <v>44474</v>
      </c>
      <c r="AX329">
        <v>120</v>
      </c>
      <c r="AY329" s="118"/>
      <c r="BA329" s="156">
        <v>44474</v>
      </c>
      <c r="BB329" s="79">
        <v>158</v>
      </c>
      <c r="BC329" s="118"/>
      <c r="BE329" s="156">
        <v>44474</v>
      </c>
      <c r="BF329" s="79">
        <v>193</v>
      </c>
      <c r="BG329" s="118"/>
      <c r="BI329" s="156">
        <v>44474</v>
      </c>
      <c r="BK329" s="118"/>
      <c r="BL329" s="119"/>
      <c r="BM329" s="156">
        <v>44474</v>
      </c>
      <c r="BN329">
        <v>80</v>
      </c>
      <c r="BO329" s="118"/>
      <c r="BQ329" s="156">
        <v>44474</v>
      </c>
      <c r="BR329">
        <v>120</v>
      </c>
      <c r="BS329" s="118"/>
      <c r="BU329" s="156">
        <v>44474</v>
      </c>
      <c r="BV329" s="79">
        <v>158</v>
      </c>
      <c r="BW329" s="118"/>
      <c r="BY329" s="156">
        <v>44474</v>
      </c>
      <c r="BZ329" s="79">
        <v>193</v>
      </c>
      <c r="CA329" s="118"/>
    </row>
    <row r="330" spans="1:79">
      <c r="A330" s="136" t="s">
        <v>85</v>
      </c>
      <c r="B330" s="121">
        <f>COUNTA(B299:B329)</f>
        <v>5</v>
      </c>
      <c r="C330" s="122">
        <f>IF(B330&lt;=$A$45,1,B330/$A$45)</f>
        <v>1</v>
      </c>
      <c r="E330" s="117">
        <v>44464</v>
      </c>
      <c r="F330" s="37"/>
      <c r="G330" s="118"/>
      <c r="I330" s="117">
        <v>44458</v>
      </c>
      <c r="J330" s="37"/>
      <c r="K330" s="79"/>
      <c r="N330" s="121" t="s">
        <v>85</v>
      </c>
      <c r="O330" s="121">
        <f>COUNTA(O318:O329)</f>
        <v>6</v>
      </c>
      <c r="P330" s="122">
        <f>IF(O330&lt;=$A$45,1,O330/$A$45)</f>
        <v>1</v>
      </c>
      <c r="R330" s="120">
        <v>3</v>
      </c>
      <c r="S330" s="125"/>
      <c r="U330" s="160" t="s">
        <v>85</v>
      </c>
      <c r="V330" s="121">
        <f>COUNTA(V299:V329)</f>
        <v>5</v>
      </c>
      <c r="W330" s="122">
        <f>IF(V330&lt;=$U$45,1,V330/$U$45)</f>
        <v>1</v>
      </c>
      <c r="Y330" s="121" t="s">
        <v>85</v>
      </c>
      <c r="Z330" s="121">
        <f>COUNTA(Z299:Z329)</f>
        <v>10</v>
      </c>
      <c r="AA330" s="122">
        <f>IF(Z330&lt;=$U$45,1,Z330/$U$45)</f>
        <v>1</v>
      </c>
      <c r="AC330" s="119">
        <v>44465</v>
      </c>
      <c r="AD330" s="37"/>
      <c r="AE330" s="80"/>
      <c r="AG330" s="121" t="s">
        <v>85</v>
      </c>
      <c r="AH330" s="121">
        <f>COUNTA(AH314:AH329)</f>
        <v>10</v>
      </c>
      <c r="AI330" s="122">
        <f>IF(AH330&lt;=$U$45,1,AH330/$U$45)</f>
        <v>1</v>
      </c>
      <c r="AK330" s="117">
        <v>44458</v>
      </c>
      <c r="AL330" s="37"/>
      <c r="AM330" s="148"/>
      <c r="AO330" s="156">
        <v>44475</v>
      </c>
      <c r="AQ330" s="118"/>
      <c r="AS330" s="156">
        <v>44475</v>
      </c>
      <c r="AU330" s="118"/>
      <c r="AW330" s="156">
        <v>44475</v>
      </c>
      <c r="AX330">
        <v>121</v>
      </c>
      <c r="AY330" s="118"/>
      <c r="BA330" s="156">
        <v>44475</v>
      </c>
      <c r="BB330" s="79">
        <v>159</v>
      </c>
      <c r="BC330" s="118"/>
      <c r="BE330" s="156">
        <v>44475</v>
      </c>
      <c r="BF330" s="79">
        <v>194</v>
      </c>
      <c r="BG330" s="118"/>
      <c r="BI330" s="156">
        <v>44475</v>
      </c>
      <c r="BK330" s="118"/>
      <c r="BM330" s="156">
        <v>44475</v>
      </c>
      <c r="BO330" s="118"/>
      <c r="BQ330" s="156">
        <v>44475</v>
      </c>
      <c r="BR330">
        <v>121</v>
      </c>
      <c r="BS330" s="118"/>
      <c r="BU330" s="156">
        <v>44475</v>
      </c>
      <c r="BV330" s="79">
        <v>159</v>
      </c>
      <c r="BW330" s="118"/>
      <c r="BY330" s="156">
        <v>44475</v>
      </c>
      <c r="BZ330" s="79">
        <v>194</v>
      </c>
      <c r="CA330" s="118"/>
    </row>
    <row r="331" spans="1:79">
      <c r="A331" s="133">
        <v>44469</v>
      </c>
      <c r="E331" s="117">
        <v>44465</v>
      </c>
      <c r="F331" s="37"/>
      <c r="G331" s="118"/>
      <c r="I331" s="118">
        <v>44459</v>
      </c>
      <c r="J331" s="79">
        <v>4</v>
      </c>
      <c r="K331" s="79"/>
      <c r="N331" s="118">
        <v>44453</v>
      </c>
      <c r="O331" s="79">
        <v>1</v>
      </c>
      <c r="P331" s="79">
        <v>2</v>
      </c>
      <c r="R331" s="120">
        <v>4</v>
      </c>
      <c r="S331" s="125"/>
      <c r="U331" s="156">
        <v>44469</v>
      </c>
      <c r="Y331" s="119">
        <v>44469</v>
      </c>
      <c r="AC331" s="80">
        <v>44466</v>
      </c>
      <c r="AD331" s="120">
        <v>6</v>
      </c>
      <c r="AE331" s="80"/>
      <c r="AG331" s="80">
        <v>44462</v>
      </c>
      <c r="AH331" s="120">
        <v>1</v>
      </c>
      <c r="AI331" s="80"/>
      <c r="AK331" s="118">
        <v>44459</v>
      </c>
      <c r="AL331" s="79">
        <v>2</v>
      </c>
      <c r="AM331" s="149"/>
      <c r="AO331" s="156">
        <v>44476</v>
      </c>
      <c r="AQ331" s="118"/>
      <c r="AS331" s="156">
        <v>44476</v>
      </c>
      <c r="AU331" s="118"/>
      <c r="AW331" s="156">
        <v>44476</v>
      </c>
      <c r="AY331" s="118"/>
      <c r="BA331" s="156">
        <v>44476</v>
      </c>
      <c r="BB331" s="79">
        <v>160</v>
      </c>
      <c r="BC331" s="118"/>
      <c r="BE331" s="156">
        <v>44476</v>
      </c>
      <c r="BF331" s="79">
        <v>195</v>
      </c>
      <c r="BG331" s="118"/>
      <c r="BI331" s="156">
        <v>44476</v>
      </c>
      <c r="BK331" s="118"/>
      <c r="BM331" s="156">
        <v>44476</v>
      </c>
      <c r="BO331" s="118"/>
      <c r="BQ331" s="156">
        <v>44476</v>
      </c>
      <c r="BS331" s="118"/>
      <c r="BU331" s="156">
        <v>44476</v>
      </c>
      <c r="BV331" s="79">
        <v>160</v>
      </c>
      <c r="BW331" s="118"/>
      <c r="BY331" s="156">
        <v>44476</v>
      </c>
      <c r="BZ331" s="79">
        <v>195</v>
      </c>
      <c r="CA331" s="118"/>
    </row>
    <row r="332" spans="1:79">
      <c r="A332" s="133">
        <v>44470</v>
      </c>
      <c r="E332" s="118">
        <v>44466</v>
      </c>
      <c r="F332" s="79">
        <v>5</v>
      </c>
      <c r="G332" s="118"/>
      <c r="I332" s="118">
        <v>44460</v>
      </c>
      <c r="J332" s="79">
        <v>5</v>
      </c>
      <c r="K332" s="79"/>
      <c r="N332" s="118">
        <v>44454</v>
      </c>
      <c r="O332" s="79">
        <v>2</v>
      </c>
      <c r="P332" s="79">
        <v>3</v>
      </c>
      <c r="R332" s="120">
        <v>5</v>
      </c>
      <c r="S332" s="125"/>
      <c r="U332" s="156">
        <v>44470</v>
      </c>
      <c r="Y332" s="119">
        <v>44470</v>
      </c>
      <c r="AC332" s="80">
        <v>44467</v>
      </c>
      <c r="AD332" s="120">
        <v>7</v>
      </c>
      <c r="AE332" s="80"/>
      <c r="AG332" s="119">
        <v>44463</v>
      </c>
      <c r="AI332" s="80"/>
      <c r="AK332" s="119">
        <v>44460</v>
      </c>
      <c r="AL332" s="79">
        <v>3</v>
      </c>
      <c r="AM332" s="149"/>
      <c r="AO332" s="156">
        <v>44477</v>
      </c>
      <c r="AQ332" s="118"/>
      <c r="AS332" s="156">
        <v>44477</v>
      </c>
      <c r="AU332" s="118"/>
      <c r="AW332" s="156">
        <v>44477</v>
      </c>
      <c r="AY332" s="118"/>
      <c r="BA332" s="156">
        <v>44477</v>
      </c>
      <c r="BC332" s="118"/>
      <c r="BE332" s="156">
        <v>44477</v>
      </c>
      <c r="BF332" s="79">
        <v>196</v>
      </c>
      <c r="BG332" s="118"/>
      <c r="BI332" s="156">
        <v>44477</v>
      </c>
      <c r="BK332" s="118"/>
      <c r="BM332" s="156">
        <v>44477</v>
      </c>
      <c r="BO332" s="118"/>
      <c r="BQ332" s="156">
        <v>44477</v>
      </c>
      <c r="BS332" s="118"/>
      <c r="BU332" s="156">
        <v>44477</v>
      </c>
      <c r="BW332" s="118"/>
      <c r="BY332" s="156">
        <v>44477</v>
      </c>
      <c r="BZ332" s="79">
        <v>196</v>
      </c>
      <c r="CA332" s="118"/>
    </row>
    <row r="333" spans="1:79">
      <c r="A333" s="129">
        <v>44471</v>
      </c>
      <c r="B333" s="37"/>
      <c r="C333" s="37"/>
      <c r="E333" s="118">
        <v>44467</v>
      </c>
      <c r="F333" s="79">
        <v>6</v>
      </c>
      <c r="G333" s="118"/>
      <c r="I333" s="118">
        <v>44461</v>
      </c>
      <c r="J333" s="79">
        <v>6</v>
      </c>
      <c r="K333" s="79"/>
      <c r="L333" s="37"/>
      <c r="M333" s="37"/>
      <c r="N333" s="118">
        <v>44455</v>
      </c>
      <c r="O333" s="79">
        <v>3</v>
      </c>
      <c r="P333" s="79">
        <v>4</v>
      </c>
      <c r="R333" s="37"/>
      <c r="S333" s="130"/>
      <c r="U333" s="152">
        <v>44471</v>
      </c>
      <c r="V333" s="37"/>
      <c r="Y333" s="117">
        <v>44471</v>
      </c>
      <c r="Z333" s="37"/>
      <c r="AA333" s="37"/>
      <c r="AC333" s="80">
        <v>44468</v>
      </c>
      <c r="AD333" s="120">
        <v>8</v>
      </c>
      <c r="AE333" s="80"/>
      <c r="AG333" s="117">
        <v>44464</v>
      </c>
      <c r="AH333" s="37"/>
      <c r="AI333" s="80"/>
      <c r="AK333" s="119">
        <v>44461</v>
      </c>
      <c r="AL333" s="79">
        <v>4</v>
      </c>
      <c r="AM333" s="149"/>
      <c r="AO333" s="152">
        <v>44478</v>
      </c>
      <c r="AP333" s="37"/>
      <c r="AQ333" s="118"/>
      <c r="AS333" s="152">
        <v>44478</v>
      </c>
      <c r="AT333" s="37"/>
      <c r="AU333" s="118"/>
      <c r="AW333" s="152">
        <v>44478</v>
      </c>
      <c r="AX333" s="37"/>
      <c r="AY333" s="118"/>
      <c r="BA333" s="152">
        <v>44478</v>
      </c>
      <c r="BB333" s="37"/>
      <c r="BC333" s="118"/>
      <c r="BE333" s="152">
        <v>44478</v>
      </c>
      <c r="BF333" s="37"/>
      <c r="BG333" s="118"/>
      <c r="BI333" s="152">
        <v>44478</v>
      </c>
      <c r="BJ333" s="37"/>
      <c r="BK333" s="118"/>
      <c r="BM333" s="152">
        <v>44478</v>
      </c>
      <c r="BN333" s="37"/>
      <c r="BO333" s="118"/>
      <c r="BQ333" s="152">
        <v>44478</v>
      </c>
      <c r="BR333" s="37"/>
      <c r="BS333" s="118"/>
      <c r="BU333" s="152">
        <v>44478</v>
      </c>
      <c r="BV333" s="37"/>
      <c r="BW333" s="118"/>
      <c r="BY333" s="152">
        <v>44478</v>
      </c>
      <c r="BZ333" s="37"/>
      <c r="CA333" s="118"/>
    </row>
    <row r="334" spans="1:79">
      <c r="A334" s="129">
        <v>44472</v>
      </c>
      <c r="B334" s="37"/>
      <c r="C334" s="37"/>
      <c r="E334" s="121" t="s">
        <v>85</v>
      </c>
      <c r="F334" s="121">
        <f>COUNTA(F318:F333)</f>
        <v>6</v>
      </c>
      <c r="G334" s="122">
        <f>IF(F334&lt;=$A$45,1,F334/$A$45)</f>
        <v>1</v>
      </c>
      <c r="I334" s="121" t="s">
        <v>85</v>
      </c>
      <c r="J334" s="121">
        <f>COUNTA(J324:J333)</f>
        <v>6</v>
      </c>
      <c r="K334" s="122">
        <f>IF(J334&lt;=$A$45,1,J334/$A$45)</f>
        <v>1</v>
      </c>
      <c r="L334" s="37"/>
      <c r="M334" s="37"/>
      <c r="N334" s="119">
        <v>44456</v>
      </c>
      <c r="P334" s="119"/>
      <c r="R334" s="37"/>
      <c r="S334" s="130"/>
      <c r="U334" s="152">
        <v>44472</v>
      </c>
      <c r="V334" s="37"/>
      <c r="Y334" s="117">
        <v>44472</v>
      </c>
      <c r="Z334" s="37"/>
      <c r="AA334" s="37"/>
      <c r="AC334" s="119">
        <v>44469</v>
      </c>
      <c r="AE334" s="80"/>
      <c r="AG334" s="117">
        <v>44465</v>
      </c>
      <c r="AH334" s="37"/>
      <c r="AI334" s="80"/>
      <c r="AK334" s="119">
        <v>44462</v>
      </c>
      <c r="AL334" s="79">
        <v>5</v>
      </c>
      <c r="AM334" s="149"/>
      <c r="AO334" s="152">
        <v>44479</v>
      </c>
      <c r="AP334" s="37"/>
      <c r="AQ334" s="118"/>
      <c r="AS334" s="152">
        <v>44479</v>
      </c>
      <c r="AT334" s="37"/>
      <c r="AU334" s="118"/>
      <c r="AW334" s="152">
        <v>44479</v>
      </c>
      <c r="AX334" s="37"/>
      <c r="AY334" s="118"/>
      <c r="BA334" s="152">
        <v>44479</v>
      </c>
      <c r="BB334" s="37"/>
      <c r="BC334" s="118"/>
      <c r="BE334" s="152">
        <v>44479</v>
      </c>
      <c r="BF334" s="37"/>
      <c r="BG334" s="118"/>
      <c r="BI334" s="152">
        <v>44479</v>
      </c>
      <c r="BJ334" s="37"/>
      <c r="BK334" s="118"/>
      <c r="BM334" s="152">
        <v>44479</v>
      </c>
      <c r="BN334" s="37"/>
      <c r="BO334" s="118"/>
      <c r="BQ334" s="152">
        <v>44479</v>
      </c>
      <c r="BR334" s="37"/>
      <c r="BS334" s="118"/>
      <c r="BU334" s="152">
        <v>44479</v>
      </c>
      <c r="BV334" s="37"/>
      <c r="BW334" s="118"/>
      <c r="BY334" s="152">
        <v>44479</v>
      </c>
      <c r="BZ334" s="37"/>
      <c r="CA334" s="118"/>
    </row>
    <row r="335" spans="1:79">
      <c r="A335" s="131">
        <v>44473</v>
      </c>
      <c r="B335" s="79">
        <v>1</v>
      </c>
      <c r="C335" s="118">
        <f>EDATE($A335,1)-1</f>
        <v>44503</v>
      </c>
      <c r="D335" s="72"/>
      <c r="E335" s="119">
        <v>44468</v>
      </c>
      <c r="H335" s="72"/>
      <c r="I335" s="119">
        <v>44462</v>
      </c>
      <c r="L335" s="122"/>
      <c r="M335" s="122"/>
      <c r="N335" s="117">
        <v>44457</v>
      </c>
      <c r="O335" s="37"/>
      <c r="P335" s="37"/>
      <c r="Q335" s="72"/>
      <c r="R335" s="121">
        <f>COUNTA(R305:R334)</f>
        <v>20</v>
      </c>
      <c r="S335" s="137">
        <f>IF(R335&lt;=$A$45,1,R335/$A$45)</f>
        <v>3.3333333333333335</v>
      </c>
      <c r="U335" s="154">
        <v>44473</v>
      </c>
      <c r="V335" s="79">
        <v>1</v>
      </c>
      <c r="W335" s="118">
        <f>EDATE($U335,1)-$W$49</f>
        <v>44503</v>
      </c>
      <c r="X335" s="72"/>
      <c r="Y335" s="118">
        <v>44473</v>
      </c>
      <c r="Z335" s="79">
        <v>1</v>
      </c>
      <c r="AA335" s="118">
        <f>EDATE(Y335,1)-1</f>
        <v>44503</v>
      </c>
      <c r="AC335" s="119">
        <v>44470</v>
      </c>
      <c r="AE335" s="80"/>
      <c r="AG335" s="80">
        <v>44466</v>
      </c>
      <c r="AH335" s="120">
        <v>2</v>
      </c>
      <c r="AI335" s="80"/>
      <c r="AK335" s="119">
        <v>44463</v>
      </c>
      <c r="AL335" s="79">
        <v>6</v>
      </c>
      <c r="AM335" s="148"/>
      <c r="AO335" s="154">
        <v>44480</v>
      </c>
      <c r="AP335" s="79">
        <v>40</v>
      </c>
      <c r="AQ335" s="118"/>
      <c r="AS335" s="154">
        <v>44480</v>
      </c>
      <c r="AT335" s="79">
        <v>81</v>
      </c>
      <c r="AU335" s="118"/>
      <c r="AW335" s="154">
        <v>44480</v>
      </c>
      <c r="AX335" s="79">
        <v>123</v>
      </c>
      <c r="AY335" s="118"/>
      <c r="BA335" s="154">
        <v>44480</v>
      </c>
      <c r="BB335" s="79">
        <v>161</v>
      </c>
      <c r="BC335" s="118"/>
      <c r="BE335" s="154">
        <v>44480</v>
      </c>
      <c r="BF335" s="79">
        <v>197</v>
      </c>
      <c r="BG335" s="118"/>
      <c r="BI335" s="154">
        <v>44480</v>
      </c>
      <c r="BJ335" s="79">
        <v>40</v>
      </c>
      <c r="BK335" s="118"/>
      <c r="BM335" s="154">
        <v>44480</v>
      </c>
      <c r="BN335" s="79">
        <v>81</v>
      </c>
      <c r="BO335" s="118"/>
      <c r="BQ335" s="154">
        <v>44480</v>
      </c>
      <c r="BR335" s="79">
        <v>123</v>
      </c>
      <c r="BS335" s="118"/>
      <c r="BU335" s="154">
        <v>44480</v>
      </c>
      <c r="BV335" s="79">
        <v>161</v>
      </c>
      <c r="BW335" s="118"/>
      <c r="BY335" s="154">
        <v>44480</v>
      </c>
      <c r="BZ335" s="79">
        <v>197</v>
      </c>
      <c r="CA335" s="118"/>
    </row>
    <row r="336" spans="1:79">
      <c r="A336" s="133">
        <v>44474</v>
      </c>
      <c r="C336" s="118"/>
      <c r="D336" s="119"/>
      <c r="E336" s="119">
        <v>44469</v>
      </c>
      <c r="H336" s="119"/>
      <c r="I336" s="119">
        <v>44463</v>
      </c>
      <c r="N336" s="117">
        <v>44458</v>
      </c>
      <c r="O336" s="37"/>
      <c r="P336" s="37"/>
      <c r="Q336" s="119"/>
      <c r="R336" s="120">
        <v>6</v>
      </c>
      <c r="S336" s="125"/>
      <c r="U336" s="156">
        <v>44474</v>
      </c>
      <c r="W336" s="118"/>
      <c r="Y336" s="118">
        <v>44474</v>
      </c>
      <c r="Z336" s="79">
        <v>2</v>
      </c>
      <c r="AA336" s="118"/>
      <c r="AC336" s="117">
        <v>44471</v>
      </c>
      <c r="AD336" s="37"/>
      <c r="AE336" s="80"/>
      <c r="AG336" s="80">
        <v>44467</v>
      </c>
      <c r="AH336" s="120">
        <v>3</v>
      </c>
      <c r="AI336" s="80"/>
      <c r="AK336" s="117">
        <v>44464</v>
      </c>
      <c r="AL336" s="37"/>
      <c r="AM336" s="148"/>
      <c r="AO336" s="156">
        <v>44481</v>
      </c>
      <c r="AQ336" s="118"/>
      <c r="AR336" s="72"/>
      <c r="AS336" s="156">
        <v>44481</v>
      </c>
      <c r="AT336">
        <v>82</v>
      </c>
      <c r="AU336" s="118"/>
      <c r="AW336" s="156">
        <v>44481</v>
      </c>
      <c r="AX336">
        <v>124</v>
      </c>
      <c r="AY336" s="118"/>
      <c r="BA336" s="156">
        <v>44481</v>
      </c>
      <c r="BB336" s="79">
        <v>162</v>
      </c>
      <c r="BC336" s="118"/>
      <c r="BE336" s="156">
        <v>44481</v>
      </c>
      <c r="BF336" s="79">
        <v>198</v>
      </c>
      <c r="BG336" s="118"/>
      <c r="BI336" s="156">
        <v>44481</v>
      </c>
      <c r="BK336" s="118"/>
      <c r="BL336" s="72"/>
      <c r="BM336" s="156">
        <v>44481</v>
      </c>
      <c r="BN336">
        <v>82</v>
      </c>
      <c r="BO336" s="118"/>
      <c r="BQ336" s="156">
        <v>44481</v>
      </c>
      <c r="BR336">
        <v>124</v>
      </c>
      <c r="BS336" s="118"/>
      <c r="BU336" s="156">
        <v>44481</v>
      </c>
      <c r="BV336" s="79">
        <v>162</v>
      </c>
      <c r="BW336" s="118"/>
      <c r="BY336" s="156">
        <v>44481</v>
      </c>
      <c r="BZ336" s="79">
        <v>198</v>
      </c>
      <c r="CA336" s="118"/>
    </row>
    <row r="337" spans="1:79">
      <c r="A337" s="133">
        <v>44475</v>
      </c>
      <c r="C337" s="79"/>
      <c r="D337" s="119"/>
      <c r="E337" s="119">
        <v>44470</v>
      </c>
      <c r="H337" s="119"/>
      <c r="I337" s="117">
        <v>44464</v>
      </c>
      <c r="J337" s="37"/>
      <c r="K337" s="37"/>
      <c r="L337" s="119"/>
      <c r="M337" s="119"/>
      <c r="N337" s="118">
        <v>44459</v>
      </c>
      <c r="O337" s="79">
        <v>4</v>
      </c>
      <c r="P337" s="79">
        <v>1</v>
      </c>
      <c r="Q337" s="119"/>
      <c r="R337" s="79">
        <v>1</v>
      </c>
      <c r="S337" s="132"/>
      <c r="U337" s="156">
        <v>44475</v>
      </c>
      <c r="W337" s="79"/>
      <c r="X337" s="119"/>
      <c r="Y337" s="119">
        <v>44475</v>
      </c>
      <c r="AA337" s="118"/>
      <c r="AC337" s="117">
        <v>44472</v>
      </c>
      <c r="AD337" s="37"/>
      <c r="AE337" s="80"/>
      <c r="AG337" s="80">
        <v>44468</v>
      </c>
      <c r="AH337" s="120">
        <v>4</v>
      </c>
      <c r="AI337" s="80"/>
      <c r="AK337" s="117">
        <v>44465</v>
      </c>
      <c r="AL337" s="37"/>
      <c r="AM337" s="148"/>
      <c r="AO337" s="156">
        <v>44482</v>
      </c>
      <c r="AQ337" s="118"/>
      <c r="AS337" s="156">
        <v>44482</v>
      </c>
      <c r="AU337" s="118"/>
      <c r="AW337" s="156">
        <v>44482</v>
      </c>
      <c r="AX337">
        <v>125</v>
      </c>
      <c r="AY337" s="118"/>
      <c r="BA337" s="156">
        <v>44482</v>
      </c>
      <c r="BB337" s="79">
        <v>163</v>
      </c>
      <c r="BC337" s="118"/>
      <c r="BE337" s="156">
        <v>44482</v>
      </c>
      <c r="BF337" s="79">
        <v>199</v>
      </c>
      <c r="BG337" s="118"/>
      <c r="BI337" s="156">
        <v>44482</v>
      </c>
      <c r="BK337" s="118"/>
      <c r="BM337" s="156">
        <v>44482</v>
      </c>
      <c r="BO337" s="118"/>
      <c r="BQ337" s="156">
        <v>44482</v>
      </c>
      <c r="BR337">
        <v>125</v>
      </c>
      <c r="BS337" s="118"/>
      <c r="BU337" s="156">
        <v>44482</v>
      </c>
      <c r="BV337" s="79">
        <v>163</v>
      </c>
      <c r="BW337" s="118"/>
      <c r="BY337" s="156">
        <v>44482</v>
      </c>
      <c r="BZ337" s="79">
        <v>199</v>
      </c>
      <c r="CA337" s="118"/>
    </row>
    <row r="338" spans="1:79">
      <c r="A338" s="133">
        <v>44476</v>
      </c>
      <c r="C338" s="118"/>
      <c r="E338" s="117">
        <v>44471</v>
      </c>
      <c r="F338" s="37"/>
      <c r="G338" s="37"/>
      <c r="I338" s="117">
        <v>44465</v>
      </c>
      <c r="J338" s="37"/>
      <c r="K338" s="37"/>
      <c r="N338" s="118">
        <v>44460</v>
      </c>
      <c r="O338" s="79">
        <v>5</v>
      </c>
      <c r="P338" s="79">
        <v>2</v>
      </c>
      <c r="R338" s="79">
        <v>2</v>
      </c>
      <c r="S338" s="134"/>
      <c r="U338" s="156">
        <v>44476</v>
      </c>
      <c r="W338" s="118"/>
      <c r="Y338" s="119">
        <v>44476</v>
      </c>
      <c r="AA338" s="118"/>
      <c r="AC338" s="80">
        <v>44473</v>
      </c>
      <c r="AD338" s="146">
        <v>9</v>
      </c>
      <c r="AE338" s="80"/>
      <c r="AG338" s="80">
        <v>44469</v>
      </c>
      <c r="AH338" s="120">
        <v>5</v>
      </c>
      <c r="AI338" s="80"/>
      <c r="AK338" s="118">
        <v>44466</v>
      </c>
      <c r="AL338" s="146">
        <v>7</v>
      </c>
      <c r="AM338" s="162"/>
      <c r="AO338" s="156">
        <v>44483</v>
      </c>
      <c r="AQ338" s="118"/>
      <c r="AR338" s="119"/>
      <c r="AS338" s="156">
        <v>44483</v>
      </c>
      <c r="AU338" s="118"/>
      <c r="AW338" s="156">
        <v>44483</v>
      </c>
      <c r="AY338" s="118"/>
      <c r="BA338" s="156">
        <v>44483</v>
      </c>
      <c r="BB338" s="79">
        <v>164</v>
      </c>
      <c r="BC338" s="118"/>
      <c r="BE338" s="156">
        <v>44483</v>
      </c>
      <c r="BF338" s="79">
        <v>200</v>
      </c>
      <c r="BG338" s="118"/>
      <c r="BI338" s="156">
        <v>44483</v>
      </c>
      <c r="BK338" s="118"/>
      <c r="BL338" s="119"/>
      <c r="BM338" s="156">
        <v>44483</v>
      </c>
      <c r="BO338" s="118"/>
      <c r="BQ338" s="156">
        <v>44483</v>
      </c>
      <c r="BS338" s="118"/>
      <c r="BU338" s="156">
        <v>44483</v>
      </c>
      <c r="BV338" s="79">
        <v>164</v>
      </c>
      <c r="BW338" s="118"/>
      <c r="BY338" s="156">
        <v>44483</v>
      </c>
      <c r="BZ338" s="79">
        <v>200</v>
      </c>
      <c r="CA338" s="118"/>
    </row>
    <row r="339" spans="1:79">
      <c r="A339" s="133">
        <v>44477</v>
      </c>
      <c r="C339" s="79"/>
      <c r="D339" s="119"/>
      <c r="E339" s="117">
        <v>44472</v>
      </c>
      <c r="F339" s="37"/>
      <c r="G339" s="37"/>
      <c r="H339" s="119"/>
      <c r="I339" s="80">
        <v>44466</v>
      </c>
      <c r="J339" s="120">
        <v>1</v>
      </c>
      <c r="K339" s="80"/>
      <c r="N339" s="118">
        <v>44461</v>
      </c>
      <c r="O339" s="79">
        <v>6</v>
      </c>
      <c r="P339" s="79">
        <v>3</v>
      </c>
      <c r="Q339" s="119"/>
      <c r="R339" s="79">
        <v>3</v>
      </c>
      <c r="S339" s="134"/>
      <c r="U339" s="156">
        <v>44477</v>
      </c>
      <c r="W339" s="79"/>
      <c r="X339" s="119"/>
      <c r="Y339" s="119">
        <v>44477</v>
      </c>
      <c r="AA339" s="118"/>
      <c r="AC339" s="80">
        <v>44474</v>
      </c>
      <c r="AD339" s="146">
        <v>10</v>
      </c>
      <c r="AE339" s="80"/>
      <c r="AG339" s="119">
        <v>44470</v>
      </c>
      <c r="AI339" s="80"/>
      <c r="AK339" s="119">
        <v>44467</v>
      </c>
      <c r="AL339" s="146">
        <v>8</v>
      </c>
      <c r="AM339" s="162"/>
      <c r="AO339" s="156">
        <v>44484</v>
      </c>
      <c r="AQ339" s="118"/>
      <c r="AS339" s="156">
        <v>44484</v>
      </c>
      <c r="AU339" s="118"/>
      <c r="AW339" s="156">
        <v>44484</v>
      </c>
      <c r="AY339" s="118"/>
      <c r="BA339" s="156">
        <v>44484</v>
      </c>
      <c r="BC339" s="118"/>
      <c r="BE339" s="156">
        <v>44484</v>
      </c>
      <c r="BF339" s="79">
        <v>201</v>
      </c>
      <c r="BG339" s="118"/>
      <c r="BI339" s="156">
        <v>44484</v>
      </c>
      <c r="BK339" s="118"/>
      <c r="BM339" s="156">
        <v>44484</v>
      </c>
      <c r="BO339" s="118"/>
      <c r="BQ339" s="156">
        <v>44484</v>
      </c>
      <c r="BS339" s="118"/>
      <c r="BU339" s="156">
        <v>44484</v>
      </c>
      <c r="BW339" s="118"/>
      <c r="BY339" s="156">
        <v>44484</v>
      </c>
      <c r="BZ339" s="79">
        <v>201</v>
      </c>
      <c r="CA339" s="118"/>
    </row>
    <row r="340" spans="1:79">
      <c r="A340" s="129">
        <v>44478</v>
      </c>
      <c r="B340" s="37"/>
      <c r="C340" s="79"/>
      <c r="E340" s="80">
        <v>44473</v>
      </c>
      <c r="F340" s="120">
        <v>1</v>
      </c>
      <c r="G340" s="80"/>
      <c r="I340" s="80">
        <v>44467</v>
      </c>
      <c r="J340" s="120">
        <v>2</v>
      </c>
      <c r="K340" s="80"/>
      <c r="N340" s="121" t="s">
        <v>85</v>
      </c>
      <c r="O340" s="121">
        <f>COUNTA(O331:O339)</f>
        <v>6</v>
      </c>
      <c r="P340" s="122">
        <f>IF(O340&lt;=$A$45,1,O340/$A$45)</f>
        <v>1</v>
      </c>
      <c r="R340" s="79">
        <v>4</v>
      </c>
      <c r="S340" s="134"/>
      <c r="U340" s="152">
        <v>44478</v>
      </c>
      <c r="V340" s="37"/>
      <c r="W340" s="79"/>
      <c r="Y340" s="117">
        <v>44478</v>
      </c>
      <c r="Z340" s="37"/>
      <c r="AA340" s="118"/>
      <c r="AC340" s="121" t="s">
        <v>85</v>
      </c>
      <c r="AD340" s="121">
        <f>COUNTA(AD318:AD339)</f>
        <v>10</v>
      </c>
      <c r="AE340" s="122">
        <f>IF(AD340&lt;=$U$45,1,AD340/$U$45)</f>
        <v>1</v>
      </c>
      <c r="AG340" s="117">
        <v>44471</v>
      </c>
      <c r="AH340" s="37"/>
      <c r="AI340" s="80"/>
      <c r="AK340" s="119">
        <v>44468</v>
      </c>
      <c r="AL340" s="146">
        <v>9</v>
      </c>
      <c r="AM340" s="162"/>
      <c r="AO340" s="152">
        <v>44485</v>
      </c>
      <c r="AP340" s="37"/>
      <c r="AQ340" s="118"/>
      <c r="AR340" s="119"/>
      <c r="AS340" s="152">
        <v>44485</v>
      </c>
      <c r="AT340" s="37"/>
      <c r="AU340" s="118"/>
      <c r="AW340" s="152">
        <v>44485</v>
      </c>
      <c r="AX340" s="37"/>
      <c r="AY340" s="118"/>
      <c r="BA340" s="152">
        <v>44485</v>
      </c>
      <c r="BB340" s="37"/>
      <c r="BC340" s="118"/>
      <c r="BE340" s="152">
        <v>44485</v>
      </c>
      <c r="BF340" s="37"/>
      <c r="BG340" s="118"/>
      <c r="BI340" s="152">
        <v>44485</v>
      </c>
      <c r="BJ340" s="37"/>
      <c r="BK340" s="118"/>
      <c r="BL340" s="119"/>
      <c r="BM340" s="152">
        <v>44485</v>
      </c>
      <c r="BN340" s="37"/>
      <c r="BO340" s="118"/>
      <c r="BQ340" s="152">
        <v>44485</v>
      </c>
      <c r="BR340" s="37"/>
      <c r="BS340" s="118"/>
      <c r="BU340" s="152">
        <v>44485</v>
      </c>
      <c r="BV340" s="37"/>
      <c r="BW340" s="118"/>
      <c r="BY340" s="152">
        <v>44485</v>
      </c>
      <c r="BZ340" s="37"/>
      <c r="CA340" s="118"/>
    </row>
    <row r="341" spans="1:79">
      <c r="A341" s="129">
        <v>44479</v>
      </c>
      <c r="B341" s="37"/>
      <c r="C341" s="79"/>
      <c r="E341" s="80">
        <v>44474</v>
      </c>
      <c r="F341" s="120">
        <v>2</v>
      </c>
      <c r="G341" s="80"/>
      <c r="I341" s="80">
        <v>44468</v>
      </c>
      <c r="J341" s="120">
        <v>3</v>
      </c>
      <c r="K341" s="80"/>
      <c r="L341" s="37"/>
      <c r="M341" s="37"/>
      <c r="N341" s="80">
        <v>44462</v>
      </c>
      <c r="O341" s="120">
        <v>1</v>
      </c>
      <c r="P341" s="120">
        <v>4</v>
      </c>
      <c r="R341" s="37"/>
      <c r="S341" s="130"/>
      <c r="U341" s="152">
        <v>44479</v>
      </c>
      <c r="V341" s="37"/>
      <c r="W341" s="79"/>
      <c r="Y341" s="117">
        <v>44479</v>
      </c>
      <c r="Z341" s="37"/>
      <c r="AA341" s="118"/>
      <c r="AC341" s="118">
        <v>44475</v>
      </c>
      <c r="AD341" s="79">
        <v>1</v>
      </c>
      <c r="AE341" s="118"/>
      <c r="AG341" s="117">
        <v>44472</v>
      </c>
      <c r="AH341" s="37"/>
      <c r="AI341" s="80"/>
      <c r="AK341" s="119">
        <v>44469</v>
      </c>
      <c r="AL341" s="146">
        <v>10</v>
      </c>
      <c r="AM341" s="162"/>
      <c r="AO341" s="152">
        <v>44486</v>
      </c>
      <c r="AP341" s="37"/>
      <c r="AQ341" s="118"/>
      <c r="AS341" s="152">
        <v>44486</v>
      </c>
      <c r="AT341" s="37"/>
      <c r="AU341" s="118"/>
      <c r="AW341" s="152">
        <v>44486</v>
      </c>
      <c r="AX341" s="37"/>
      <c r="AY341" s="118"/>
      <c r="BA341" s="152">
        <v>44486</v>
      </c>
      <c r="BB341" s="37"/>
      <c r="BC341" s="118"/>
      <c r="BE341" s="152">
        <v>44486</v>
      </c>
      <c r="BF341" s="37"/>
      <c r="BG341" s="118"/>
      <c r="BI341" s="152">
        <v>44486</v>
      </c>
      <c r="BJ341" s="37"/>
      <c r="BK341" s="118"/>
      <c r="BM341" s="152">
        <v>44486</v>
      </c>
      <c r="BN341" s="37"/>
      <c r="BO341" s="118"/>
      <c r="BQ341" s="152">
        <v>44486</v>
      </c>
      <c r="BR341" s="37"/>
      <c r="BS341" s="118"/>
      <c r="BU341" s="152">
        <v>44486</v>
      </c>
      <c r="BV341" s="37"/>
      <c r="BW341" s="118"/>
      <c r="BY341" s="152">
        <v>44486</v>
      </c>
      <c r="BZ341" s="37"/>
      <c r="CA341" s="118"/>
    </row>
    <row r="342" spans="1:79">
      <c r="A342" s="131">
        <v>44480</v>
      </c>
      <c r="B342" s="79">
        <v>2</v>
      </c>
      <c r="C342" s="79"/>
      <c r="E342" s="119">
        <v>44475</v>
      </c>
      <c r="G342" s="80"/>
      <c r="I342" s="119">
        <v>44469</v>
      </c>
      <c r="K342" s="80"/>
      <c r="L342" s="37"/>
      <c r="M342" s="37"/>
      <c r="N342" s="119">
        <v>44463</v>
      </c>
      <c r="R342" s="37"/>
      <c r="S342" s="130"/>
      <c r="U342" s="154">
        <v>44480</v>
      </c>
      <c r="V342" s="79">
        <v>2</v>
      </c>
      <c r="W342" s="79"/>
      <c r="Y342" s="118">
        <v>44480</v>
      </c>
      <c r="Z342" s="79">
        <v>3</v>
      </c>
      <c r="AA342" s="118"/>
      <c r="AC342" s="119">
        <v>44476</v>
      </c>
      <c r="AE342" s="118"/>
      <c r="AG342" s="80">
        <v>44473</v>
      </c>
      <c r="AH342" s="120">
        <v>6</v>
      </c>
      <c r="AI342" s="80"/>
      <c r="AK342" s="121" t="s">
        <v>85</v>
      </c>
      <c r="AL342" s="121">
        <f>COUNTA(AL328:AL341)</f>
        <v>10</v>
      </c>
      <c r="AM342" s="158">
        <f>IF(AL342&lt;=$U$45,1,AL342/$U$45)</f>
        <v>1</v>
      </c>
      <c r="AO342" s="154">
        <v>44487</v>
      </c>
      <c r="AP342" s="79">
        <v>41</v>
      </c>
      <c r="AQ342" s="118"/>
      <c r="AS342" s="154">
        <v>44487</v>
      </c>
      <c r="AT342" s="79">
        <v>83</v>
      </c>
      <c r="AU342" s="118"/>
      <c r="AW342" s="154">
        <v>44487</v>
      </c>
      <c r="AX342" s="79">
        <v>126</v>
      </c>
      <c r="AY342" s="118"/>
      <c r="BA342" s="154">
        <v>44487</v>
      </c>
      <c r="BB342" s="79">
        <v>165</v>
      </c>
      <c r="BC342" s="118"/>
      <c r="BE342" s="154">
        <v>44487</v>
      </c>
      <c r="BF342" s="79">
        <v>202</v>
      </c>
      <c r="BG342" s="118"/>
      <c r="BI342" s="154">
        <v>44487</v>
      </c>
      <c r="BJ342" s="79">
        <v>41</v>
      </c>
      <c r="BK342" s="118"/>
      <c r="BM342" s="154">
        <v>44487</v>
      </c>
      <c r="BN342" s="79">
        <v>83</v>
      </c>
      <c r="BO342" s="118"/>
      <c r="BQ342" s="154">
        <v>44487</v>
      </c>
      <c r="BR342" s="79">
        <v>126</v>
      </c>
      <c r="BS342" s="118"/>
      <c r="BU342" s="154">
        <v>44487</v>
      </c>
      <c r="BV342" s="79">
        <v>165</v>
      </c>
      <c r="BW342" s="118"/>
      <c r="BY342" s="154">
        <v>44487</v>
      </c>
      <c r="BZ342" s="79">
        <v>202</v>
      </c>
      <c r="CA342" s="118"/>
    </row>
    <row r="343" spans="1:79">
      <c r="A343" s="133">
        <v>44481</v>
      </c>
      <c r="C343" s="79"/>
      <c r="E343" s="119">
        <v>44476</v>
      </c>
      <c r="G343" s="80"/>
      <c r="I343" s="119">
        <v>44470</v>
      </c>
      <c r="K343" s="80"/>
      <c r="N343" s="117">
        <v>44464</v>
      </c>
      <c r="O343" s="37"/>
      <c r="P343" s="37"/>
      <c r="R343" s="79">
        <v>5</v>
      </c>
      <c r="S343" s="134"/>
      <c r="U343" s="156">
        <v>44481</v>
      </c>
      <c r="W343" s="79"/>
      <c r="Y343" s="118">
        <v>44481</v>
      </c>
      <c r="Z343" s="79">
        <v>4</v>
      </c>
      <c r="AA343" s="118"/>
      <c r="AC343" s="119">
        <v>44477</v>
      </c>
      <c r="AE343" s="118"/>
      <c r="AG343" s="80">
        <v>44474</v>
      </c>
      <c r="AH343" s="120">
        <v>7</v>
      </c>
      <c r="AI343" s="80"/>
      <c r="AK343" s="119">
        <v>44470</v>
      </c>
      <c r="AL343" s="146">
        <v>1</v>
      </c>
      <c r="AM343" s="148"/>
      <c r="AO343" s="156">
        <v>44488</v>
      </c>
      <c r="AQ343" s="118"/>
      <c r="AS343" s="156">
        <v>44488</v>
      </c>
      <c r="AT343">
        <v>84</v>
      </c>
      <c r="AU343" s="118"/>
      <c r="AW343" s="156">
        <v>44488</v>
      </c>
      <c r="AX343">
        <v>127</v>
      </c>
      <c r="AY343" s="118"/>
      <c r="BA343" s="156">
        <v>44488</v>
      </c>
      <c r="BB343" s="79">
        <v>166</v>
      </c>
      <c r="BC343" s="118"/>
      <c r="BE343" s="156">
        <v>44488</v>
      </c>
      <c r="BF343" s="79">
        <v>203</v>
      </c>
      <c r="BG343" s="118"/>
      <c r="BI343" s="156">
        <v>44488</v>
      </c>
      <c r="BK343" s="118"/>
      <c r="BM343" s="156">
        <v>44488</v>
      </c>
      <c r="BN343">
        <v>84</v>
      </c>
      <c r="BO343" s="118"/>
      <c r="BQ343" s="156">
        <v>44488</v>
      </c>
      <c r="BR343">
        <v>127</v>
      </c>
      <c r="BS343" s="118"/>
      <c r="BU343" s="156">
        <v>44488</v>
      </c>
      <c r="BV343" s="79">
        <v>166</v>
      </c>
      <c r="BW343" s="118"/>
      <c r="BY343" s="156">
        <v>44488</v>
      </c>
      <c r="BZ343" s="79">
        <v>203</v>
      </c>
      <c r="CA343" s="118"/>
    </row>
    <row r="344" spans="1:79">
      <c r="A344" s="133">
        <v>44482</v>
      </c>
      <c r="C344" s="118"/>
      <c r="E344" s="119">
        <v>44477</v>
      </c>
      <c r="G344" s="80"/>
      <c r="I344" s="117">
        <v>44471</v>
      </c>
      <c r="J344" s="37"/>
      <c r="K344" s="80"/>
      <c r="L344" s="119"/>
      <c r="M344" s="119"/>
      <c r="N344" s="117">
        <v>44465</v>
      </c>
      <c r="O344" s="37"/>
      <c r="P344" s="37"/>
      <c r="R344" s="79">
        <v>6</v>
      </c>
      <c r="S344" s="134"/>
      <c r="U344" s="156">
        <v>44482</v>
      </c>
      <c r="W344" s="118"/>
      <c r="Y344" s="119">
        <v>44482</v>
      </c>
      <c r="AA344" s="118"/>
      <c r="AC344" s="117">
        <v>44478</v>
      </c>
      <c r="AD344" s="37"/>
      <c r="AE344" s="118"/>
      <c r="AG344" s="80">
        <v>44475</v>
      </c>
      <c r="AH344" s="120">
        <v>8</v>
      </c>
      <c r="AI344" s="80"/>
      <c r="AK344" s="117">
        <v>44471</v>
      </c>
      <c r="AL344" s="37"/>
      <c r="AM344" s="148"/>
      <c r="AO344" s="156">
        <v>44489</v>
      </c>
      <c r="AQ344" s="118"/>
      <c r="AS344" s="156">
        <v>44489</v>
      </c>
      <c r="AU344" s="118"/>
      <c r="AW344" s="156">
        <v>44489</v>
      </c>
      <c r="AX344">
        <v>128</v>
      </c>
      <c r="AY344" s="118"/>
      <c r="BA344" s="156">
        <v>44489</v>
      </c>
      <c r="BB344" s="79">
        <v>167</v>
      </c>
      <c r="BC344" s="118"/>
      <c r="BE344" s="156">
        <v>44489</v>
      </c>
      <c r="BF344" s="79">
        <v>204</v>
      </c>
      <c r="BG344" s="118"/>
      <c r="BI344" s="156">
        <v>44489</v>
      </c>
      <c r="BK344" s="118"/>
      <c r="BM344" s="156">
        <v>44489</v>
      </c>
      <c r="BO344" s="118"/>
      <c r="BQ344" s="156">
        <v>44489</v>
      </c>
      <c r="BR344">
        <v>128</v>
      </c>
      <c r="BS344" s="118"/>
      <c r="BU344" s="156">
        <v>44489</v>
      </c>
      <c r="BV344" s="79">
        <v>167</v>
      </c>
      <c r="BW344" s="118"/>
      <c r="BY344" s="156">
        <v>44489</v>
      </c>
      <c r="BZ344" s="79">
        <v>204</v>
      </c>
      <c r="CA344" s="118"/>
    </row>
    <row r="345" spans="1:79">
      <c r="A345" s="133">
        <v>44483</v>
      </c>
      <c r="C345" s="79"/>
      <c r="D345" s="119"/>
      <c r="E345" s="117">
        <v>44478</v>
      </c>
      <c r="F345" s="37"/>
      <c r="G345" s="80"/>
      <c r="H345" s="119"/>
      <c r="I345" s="117">
        <v>44472</v>
      </c>
      <c r="J345" s="37"/>
      <c r="K345" s="80"/>
      <c r="L345" s="119"/>
      <c r="M345" s="119"/>
      <c r="N345" s="80">
        <v>44466</v>
      </c>
      <c r="O345" s="120">
        <v>2</v>
      </c>
      <c r="P345" s="120">
        <v>1</v>
      </c>
      <c r="Q345" s="119"/>
      <c r="R345" s="120">
        <v>1</v>
      </c>
      <c r="S345" s="135"/>
      <c r="U345" s="156">
        <v>44483</v>
      </c>
      <c r="W345" s="79"/>
      <c r="X345" s="119"/>
      <c r="Y345" s="119">
        <v>44483</v>
      </c>
      <c r="AA345" s="118"/>
      <c r="AC345" s="117">
        <v>44479</v>
      </c>
      <c r="AD345" s="37"/>
      <c r="AE345" s="118"/>
      <c r="AG345" s="80">
        <v>44476</v>
      </c>
      <c r="AH345" s="120">
        <v>9</v>
      </c>
      <c r="AI345" s="80"/>
      <c r="AK345" s="117">
        <v>44472</v>
      </c>
      <c r="AL345" s="37"/>
      <c r="AM345" s="148"/>
      <c r="AO345" s="156">
        <v>44490</v>
      </c>
      <c r="AQ345" s="118"/>
      <c r="AS345" s="156">
        <v>44490</v>
      </c>
      <c r="AU345" s="118"/>
      <c r="AW345" s="156">
        <v>44490</v>
      </c>
      <c r="AY345" s="118"/>
      <c r="BA345" s="156">
        <v>44490</v>
      </c>
      <c r="BB345" s="79">
        <v>168</v>
      </c>
      <c r="BC345" s="118"/>
      <c r="BE345" s="156">
        <v>44490</v>
      </c>
      <c r="BF345" s="79">
        <v>205</v>
      </c>
      <c r="BG345" s="118"/>
      <c r="BI345" s="156">
        <v>44490</v>
      </c>
      <c r="BK345" s="118"/>
      <c r="BM345" s="156">
        <v>44490</v>
      </c>
      <c r="BO345" s="118"/>
      <c r="BQ345" s="156">
        <v>44490</v>
      </c>
      <c r="BS345" s="118"/>
      <c r="BU345" s="156">
        <v>44490</v>
      </c>
      <c r="BV345" s="79">
        <v>168</v>
      </c>
      <c r="BW345" s="118"/>
      <c r="BY345" s="156">
        <v>44490</v>
      </c>
      <c r="BZ345" s="79">
        <v>205</v>
      </c>
      <c r="CA345" s="118"/>
    </row>
    <row r="346" spans="1:79">
      <c r="A346" s="133">
        <v>44484</v>
      </c>
      <c r="C346" s="79"/>
      <c r="E346" s="117">
        <v>44479</v>
      </c>
      <c r="F346" s="37"/>
      <c r="G346" s="80"/>
      <c r="I346" s="80">
        <v>44473</v>
      </c>
      <c r="J346" s="120">
        <v>4</v>
      </c>
      <c r="K346" s="80"/>
      <c r="N346" s="80">
        <v>44467</v>
      </c>
      <c r="O346" s="120">
        <v>3</v>
      </c>
      <c r="P346" s="120">
        <v>2</v>
      </c>
      <c r="R346" s="120">
        <v>2</v>
      </c>
      <c r="S346" s="125"/>
      <c r="U346" s="156">
        <v>44484</v>
      </c>
      <c r="W346" s="79"/>
      <c r="Y346" s="119">
        <v>44484</v>
      </c>
      <c r="AA346" s="118"/>
      <c r="AC346" s="118">
        <v>44480</v>
      </c>
      <c r="AD346" s="79">
        <v>2</v>
      </c>
      <c r="AE346" s="118"/>
      <c r="AG346" s="119">
        <v>44477</v>
      </c>
      <c r="AI346" s="80"/>
      <c r="AK346" s="118">
        <v>44473</v>
      </c>
      <c r="AL346" s="146">
        <v>2</v>
      </c>
      <c r="AM346" s="162"/>
      <c r="AO346" s="156">
        <v>44491</v>
      </c>
      <c r="AQ346" s="118"/>
      <c r="AR346" s="119"/>
      <c r="AS346" s="156">
        <v>44491</v>
      </c>
      <c r="AU346" s="118"/>
      <c r="AW346" s="156">
        <v>44491</v>
      </c>
      <c r="AY346" s="118"/>
      <c r="BA346" s="156">
        <v>44491</v>
      </c>
      <c r="BC346" s="118"/>
      <c r="BE346" s="156">
        <v>44491</v>
      </c>
      <c r="BF346" s="79">
        <v>206</v>
      </c>
      <c r="BG346" s="118"/>
      <c r="BI346" s="156">
        <v>44491</v>
      </c>
      <c r="BK346" s="118"/>
      <c r="BL346" s="119"/>
      <c r="BM346" s="156">
        <v>44491</v>
      </c>
      <c r="BO346" s="118"/>
      <c r="BQ346" s="156">
        <v>44491</v>
      </c>
      <c r="BS346" s="118"/>
      <c r="BU346" s="156">
        <v>44491</v>
      </c>
      <c r="BW346" s="118"/>
      <c r="BY346" s="156">
        <v>44491</v>
      </c>
      <c r="BZ346" s="79">
        <v>206</v>
      </c>
      <c r="CA346" s="118"/>
    </row>
    <row r="347" spans="1:79">
      <c r="A347" s="129">
        <v>44485</v>
      </c>
      <c r="B347" s="37"/>
      <c r="C347" s="79"/>
      <c r="E347" s="80">
        <v>44480</v>
      </c>
      <c r="F347" s="120">
        <v>3</v>
      </c>
      <c r="G347" s="80"/>
      <c r="I347" s="80">
        <v>44474</v>
      </c>
      <c r="J347" s="120">
        <v>5</v>
      </c>
      <c r="K347" s="80"/>
      <c r="N347" s="80">
        <v>44468</v>
      </c>
      <c r="O347" s="120">
        <v>4</v>
      </c>
      <c r="P347" s="120">
        <v>3</v>
      </c>
      <c r="R347" s="120">
        <v>3</v>
      </c>
      <c r="S347" s="125"/>
      <c r="U347" s="152">
        <v>44485</v>
      </c>
      <c r="V347" s="37"/>
      <c r="W347" s="79"/>
      <c r="Y347" s="117">
        <v>44485</v>
      </c>
      <c r="Z347" s="37"/>
      <c r="AA347" s="118"/>
      <c r="AC347" s="118">
        <v>44481</v>
      </c>
      <c r="AD347" s="79">
        <v>3</v>
      </c>
      <c r="AE347" s="118"/>
      <c r="AG347" s="117">
        <v>44478</v>
      </c>
      <c r="AH347" s="37"/>
      <c r="AI347" s="80"/>
      <c r="AK347" s="119">
        <v>44474</v>
      </c>
      <c r="AL347" s="146">
        <v>3</v>
      </c>
      <c r="AM347" s="162"/>
      <c r="AO347" s="152">
        <v>44492</v>
      </c>
      <c r="AP347" s="37"/>
      <c r="AQ347" s="118"/>
      <c r="AS347" s="152">
        <v>44492</v>
      </c>
      <c r="AT347" s="37"/>
      <c r="AU347" s="118"/>
      <c r="AW347" s="152">
        <v>44492</v>
      </c>
      <c r="AX347" s="37"/>
      <c r="AY347" s="118"/>
      <c r="BA347" s="152">
        <v>44492</v>
      </c>
      <c r="BB347" s="37"/>
      <c r="BC347" s="118"/>
      <c r="BE347" s="152">
        <v>44492</v>
      </c>
      <c r="BF347" s="37"/>
      <c r="BG347" s="118"/>
      <c r="BI347" s="152">
        <v>44492</v>
      </c>
      <c r="BJ347" s="37"/>
      <c r="BK347" s="118"/>
      <c r="BM347" s="152">
        <v>44492</v>
      </c>
      <c r="BN347" s="37"/>
      <c r="BO347" s="118"/>
      <c r="BQ347" s="152">
        <v>44492</v>
      </c>
      <c r="BR347" s="37"/>
      <c r="BS347" s="118"/>
      <c r="BU347" s="152">
        <v>44492</v>
      </c>
      <c r="BV347" s="37"/>
      <c r="BW347" s="118"/>
      <c r="BY347" s="152">
        <v>44492</v>
      </c>
      <c r="BZ347" s="37"/>
      <c r="CA347" s="118"/>
    </row>
    <row r="348" spans="1:79">
      <c r="A348" s="129">
        <v>44486</v>
      </c>
      <c r="B348" s="37"/>
      <c r="C348" s="79"/>
      <c r="E348" s="80">
        <v>44481</v>
      </c>
      <c r="F348" s="120">
        <v>4</v>
      </c>
      <c r="G348" s="80"/>
      <c r="I348" s="80">
        <v>44475</v>
      </c>
      <c r="J348" s="120">
        <v>6</v>
      </c>
      <c r="K348" s="80"/>
      <c r="L348" s="37"/>
      <c r="M348" s="37"/>
      <c r="N348" s="80">
        <v>44469</v>
      </c>
      <c r="O348" s="120">
        <v>5</v>
      </c>
      <c r="P348" s="120">
        <v>4</v>
      </c>
      <c r="R348" s="37"/>
      <c r="S348" s="130"/>
      <c r="U348" s="152">
        <v>44486</v>
      </c>
      <c r="V348" s="37"/>
      <c r="W348" s="79"/>
      <c r="Y348" s="117">
        <v>44486</v>
      </c>
      <c r="Z348" s="37"/>
      <c r="AA348" s="118"/>
      <c r="AC348" s="118">
        <v>44482</v>
      </c>
      <c r="AD348" s="79">
        <v>4</v>
      </c>
      <c r="AE348" s="118"/>
      <c r="AG348" s="117">
        <v>44479</v>
      </c>
      <c r="AH348" s="37"/>
      <c r="AI348" s="80"/>
      <c r="AK348" s="119">
        <v>44475</v>
      </c>
      <c r="AL348" s="146">
        <v>4</v>
      </c>
      <c r="AM348" s="162"/>
      <c r="AO348" s="152">
        <v>44493</v>
      </c>
      <c r="AP348" s="37"/>
      <c r="AQ348" s="118"/>
      <c r="AS348" s="152">
        <v>44493</v>
      </c>
      <c r="AT348" s="37"/>
      <c r="AU348" s="118"/>
      <c r="AW348" s="152">
        <v>44493</v>
      </c>
      <c r="AX348" s="37"/>
      <c r="AY348" s="118"/>
      <c r="BA348" s="152">
        <v>44493</v>
      </c>
      <c r="BB348" s="37"/>
      <c r="BC348" s="118"/>
      <c r="BE348" s="152">
        <v>44493</v>
      </c>
      <c r="BF348" s="37"/>
      <c r="BG348" s="118"/>
      <c r="BI348" s="152">
        <v>44493</v>
      </c>
      <c r="BJ348" s="37"/>
      <c r="BK348" s="118"/>
      <c r="BM348" s="152">
        <v>44493</v>
      </c>
      <c r="BN348" s="37"/>
      <c r="BO348" s="118"/>
      <c r="BQ348" s="152">
        <v>44493</v>
      </c>
      <c r="BR348" s="37"/>
      <c r="BS348" s="118"/>
      <c r="BU348" s="152">
        <v>44493</v>
      </c>
      <c r="BV348" s="37"/>
      <c r="BW348" s="118"/>
      <c r="BY348" s="152">
        <v>44493</v>
      </c>
      <c r="BZ348" s="37"/>
      <c r="CA348" s="118"/>
    </row>
    <row r="349" spans="1:79">
      <c r="A349" s="131">
        <v>44487</v>
      </c>
      <c r="B349" s="79">
        <v>3</v>
      </c>
      <c r="C349" s="79"/>
      <c r="E349" s="119">
        <v>44482</v>
      </c>
      <c r="G349" s="80"/>
      <c r="I349" s="121" t="s">
        <v>85</v>
      </c>
      <c r="J349" s="121">
        <f>COUNTA(J339:J348)</f>
        <v>6</v>
      </c>
      <c r="K349" s="122">
        <f>IF(J349&lt;=$A$45,1,J349/$A$45)</f>
        <v>1</v>
      </c>
      <c r="L349" s="37"/>
      <c r="M349" s="37"/>
      <c r="N349" s="119">
        <v>44470</v>
      </c>
      <c r="R349" s="37"/>
      <c r="S349" s="130"/>
      <c r="U349" s="154">
        <v>44487</v>
      </c>
      <c r="V349" s="79">
        <v>3</v>
      </c>
      <c r="W349" s="79"/>
      <c r="Y349" s="118">
        <v>44487</v>
      </c>
      <c r="Z349" s="79">
        <v>5</v>
      </c>
      <c r="AA349" s="118"/>
      <c r="AC349" s="119">
        <v>44483</v>
      </c>
      <c r="AE349" s="118"/>
      <c r="AG349" s="80">
        <v>44480</v>
      </c>
      <c r="AH349" s="120">
        <v>10</v>
      </c>
      <c r="AI349" s="80"/>
      <c r="AK349" s="119">
        <v>44476</v>
      </c>
      <c r="AL349" s="146">
        <v>5</v>
      </c>
      <c r="AM349" s="162"/>
      <c r="AO349" s="154">
        <v>44494</v>
      </c>
      <c r="AP349" s="79">
        <v>42</v>
      </c>
      <c r="AQ349" s="118"/>
      <c r="AS349" s="154">
        <v>44494</v>
      </c>
      <c r="AT349" s="79">
        <v>85</v>
      </c>
      <c r="AU349" s="118"/>
      <c r="AW349" s="154">
        <v>44494</v>
      </c>
      <c r="AX349" s="79">
        <v>129</v>
      </c>
      <c r="AY349" s="118"/>
      <c r="BA349" s="154">
        <v>44494</v>
      </c>
      <c r="BB349" s="79">
        <v>169</v>
      </c>
      <c r="BC349" s="118"/>
      <c r="BE349" s="154">
        <v>44494</v>
      </c>
      <c r="BF349" s="79">
        <v>207</v>
      </c>
      <c r="BG349" s="118"/>
      <c r="BI349" s="154">
        <v>44494</v>
      </c>
      <c r="BJ349" s="79">
        <v>42</v>
      </c>
      <c r="BK349" s="118"/>
      <c r="BM349" s="154">
        <v>44494</v>
      </c>
      <c r="BN349" s="79">
        <v>85</v>
      </c>
      <c r="BO349" s="118"/>
      <c r="BQ349" s="154">
        <v>44494</v>
      </c>
      <c r="BR349" s="79">
        <v>129</v>
      </c>
      <c r="BS349" s="118"/>
      <c r="BU349" s="154">
        <v>44494</v>
      </c>
      <c r="BV349" s="79">
        <v>169</v>
      </c>
      <c r="BW349" s="118"/>
      <c r="BY349" s="154">
        <v>44494</v>
      </c>
      <c r="BZ349" s="79">
        <v>207</v>
      </c>
      <c r="CA349" s="118"/>
    </row>
    <row r="350" spans="1:79">
      <c r="A350" s="133">
        <v>44488</v>
      </c>
      <c r="C350" s="118"/>
      <c r="E350" s="119">
        <v>44483</v>
      </c>
      <c r="G350" s="80"/>
      <c r="I350" s="119">
        <v>44476</v>
      </c>
      <c r="N350" s="117">
        <v>44471</v>
      </c>
      <c r="O350" s="37"/>
      <c r="P350" s="37"/>
      <c r="R350" s="120">
        <v>4</v>
      </c>
      <c r="S350" s="125"/>
      <c r="U350" s="156">
        <v>44488</v>
      </c>
      <c r="W350" s="118"/>
      <c r="Y350" s="118">
        <v>44488</v>
      </c>
      <c r="Z350" s="79">
        <v>6</v>
      </c>
      <c r="AA350" s="118"/>
      <c r="AC350" s="119">
        <v>44484</v>
      </c>
      <c r="AE350" s="118"/>
      <c r="AG350" s="121" t="s">
        <v>85</v>
      </c>
      <c r="AH350" s="121">
        <f>COUNTA(AH331:AH349)</f>
        <v>10</v>
      </c>
      <c r="AI350" s="122">
        <f>IF(AH350&lt;=$U$45,1,AH350/$U$45)</f>
        <v>1</v>
      </c>
      <c r="AK350" s="119">
        <v>44477</v>
      </c>
      <c r="AL350" s="146">
        <v>6</v>
      </c>
      <c r="AM350" s="148"/>
      <c r="AO350" s="156">
        <v>44495</v>
      </c>
      <c r="AQ350" s="118"/>
      <c r="AS350" s="156">
        <v>44495</v>
      </c>
      <c r="AT350">
        <v>86</v>
      </c>
      <c r="AU350" s="118"/>
      <c r="AW350" s="156">
        <v>44495</v>
      </c>
      <c r="AX350">
        <v>130</v>
      </c>
      <c r="AY350" s="118"/>
      <c r="BA350" s="156">
        <v>44495</v>
      </c>
      <c r="BB350" s="79">
        <v>170</v>
      </c>
      <c r="BC350" s="118"/>
      <c r="BE350" s="156">
        <v>44495</v>
      </c>
      <c r="BF350" s="79">
        <v>208</v>
      </c>
      <c r="BG350" s="118"/>
      <c r="BI350" s="156">
        <v>44495</v>
      </c>
      <c r="BK350" s="118"/>
      <c r="BM350" s="156">
        <v>44495</v>
      </c>
      <c r="BN350">
        <v>86</v>
      </c>
      <c r="BO350" s="118"/>
      <c r="BQ350" s="156">
        <v>44495</v>
      </c>
      <c r="BR350">
        <v>130</v>
      </c>
      <c r="BS350" s="118"/>
      <c r="BU350" s="156">
        <v>44495</v>
      </c>
      <c r="BV350" s="79">
        <v>170</v>
      </c>
      <c r="BW350" s="118"/>
      <c r="BY350" s="156">
        <v>44495</v>
      </c>
      <c r="BZ350" s="79">
        <v>208</v>
      </c>
      <c r="CA350" s="118"/>
    </row>
    <row r="351" spans="1:79">
      <c r="A351" s="133">
        <v>44489</v>
      </c>
      <c r="C351" s="79"/>
      <c r="D351" s="119"/>
      <c r="E351" s="119">
        <v>44484</v>
      </c>
      <c r="G351" s="80"/>
      <c r="H351" s="119"/>
      <c r="I351" s="119">
        <v>44477</v>
      </c>
      <c r="L351" s="119"/>
      <c r="M351" s="119"/>
      <c r="N351" s="117">
        <v>44472</v>
      </c>
      <c r="O351" s="37"/>
      <c r="P351" s="37"/>
      <c r="Q351" s="119"/>
      <c r="R351" s="120">
        <v>5</v>
      </c>
      <c r="S351" s="125"/>
      <c r="U351" s="156">
        <v>44489</v>
      </c>
      <c r="W351" s="79"/>
      <c r="X351" s="119"/>
      <c r="Y351" s="119">
        <v>44489</v>
      </c>
      <c r="AA351" s="118"/>
      <c r="AC351" s="117">
        <v>44485</v>
      </c>
      <c r="AD351" s="37"/>
      <c r="AE351" s="118"/>
      <c r="AG351" s="118">
        <v>44481</v>
      </c>
      <c r="AH351" s="79">
        <v>1</v>
      </c>
      <c r="AI351" s="118"/>
      <c r="AK351" s="117">
        <v>44478</v>
      </c>
      <c r="AL351" s="37"/>
      <c r="AM351" s="148"/>
      <c r="AO351" s="156">
        <v>44496</v>
      </c>
      <c r="AQ351" s="118"/>
      <c r="AS351" s="156">
        <v>44496</v>
      </c>
      <c r="AU351" s="118"/>
      <c r="AW351" s="156">
        <v>44496</v>
      </c>
      <c r="AX351">
        <v>131</v>
      </c>
      <c r="AY351" s="118"/>
      <c r="BA351" s="156">
        <v>44496</v>
      </c>
      <c r="BB351" s="79">
        <v>171</v>
      </c>
      <c r="BC351" s="118"/>
      <c r="BE351" s="156">
        <v>44496</v>
      </c>
      <c r="BF351" s="79">
        <v>209</v>
      </c>
      <c r="BG351" s="118"/>
      <c r="BI351" s="156">
        <v>44496</v>
      </c>
      <c r="BK351" s="118"/>
      <c r="BM351" s="156">
        <v>44496</v>
      </c>
      <c r="BO351" s="118"/>
      <c r="BQ351" s="156">
        <v>44496</v>
      </c>
      <c r="BR351">
        <v>131</v>
      </c>
      <c r="BS351" s="118"/>
      <c r="BU351" s="156">
        <v>44496</v>
      </c>
      <c r="BV351" s="79">
        <v>171</v>
      </c>
      <c r="BW351" s="118"/>
      <c r="BY351" s="156">
        <v>44496</v>
      </c>
      <c r="BZ351" s="79">
        <v>209</v>
      </c>
      <c r="CA351" s="118"/>
    </row>
    <row r="352" spans="1:79">
      <c r="A352" s="133">
        <v>44490</v>
      </c>
      <c r="C352" s="118"/>
      <c r="E352" s="117">
        <v>44485</v>
      </c>
      <c r="F352" s="37"/>
      <c r="G352" s="80"/>
      <c r="I352" s="117">
        <v>44478</v>
      </c>
      <c r="J352" s="37"/>
      <c r="K352" s="37"/>
      <c r="N352" s="80">
        <v>44473</v>
      </c>
      <c r="O352" s="120">
        <v>6</v>
      </c>
      <c r="P352" s="120">
        <v>1</v>
      </c>
      <c r="R352" s="120">
        <v>6</v>
      </c>
      <c r="S352" s="125"/>
      <c r="U352" s="156">
        <v>44490</v>
      </c>
      <c r="W352" s="118"/>
      <c r="Y352" s="119">
        <v>44490</v>
      </c>
      <c r="AA352" s="118"/>
      <c r="AC352" s="117">
        <v>44486</v>
      </c>
      <c r="AD352" s="37"/>
      <c r="AE352" s="118"/>
      <c r="AG352" s="118">
        <v>44482</v>
      </c>
      <c r="AH352" s="79">
        <v>2</v>
      </c>
      <c r="AI352" s="118"/>
      <c r="AK352" s="117">
        <v>44479</v>
      </c>
      <c r="AL352" s="37"/>
      <c r="AM352" s="148"/>
      <c r="AO352" s="156">
        <v>44497</v>
      </c>
      <c r="AQ352" s="118"/>
      <c r="AR352" s="119"/>
      <c r="AS352" s="156">
        <v>44497</v>
      </c>
      <c r="AU352" s="118"/>
      <c r="AW352" s="156">
        <v>44497</v>
      </c>
      <c r="AY352" s="118"/>
      <c r="BA352" s="156">
        <v>44497</v>
      </c>
      <c r="BB352" s="79">
        <v>172</v>
      </c>
      <c r="BC352" s="118"/>
      <c r="BE352" s="156">
        <v>44497</v>
      </c>
      <c r="BF352" s="79">
        <v>210</v>
      </c>
      <c r="BG352" s="118"/>
      <c r="BI352" s="156">
        <v>44497</v>
      </c>
      <c r="BK352" s="118"/>
      <c r="BL352" s="119"/>
      <c r="BM352" s="156">
        <v>44497</v>
      </c>
      <c r="BO352" s="118"/>
      <c r="BQ352" s="156">
        <v>44497</v>
      </c>
      <c r="BS352" s="118"/>
      <c r="BU352" s="156">
        <v>44497</v>
      </c>
      <c r="BV352" s="79">
        <v>172</v>
      </c>
      <c r="BW352" s="118"/>
      <c r="BY352" s="156">
        <v>44497</v>
      </c>
      <c r="BZ352" s="79">
        <v>210</v>
      </c>
      <c r="CA352" s="118"/>
    </row>
    <row r="353" spans="1:79">
      <c r="A353" s="133">
        <v>44491</v>
      </c>
      <c r="C353" s="79"/>
      <c r="D353" s="119"/>
      <c r="E353" s="117">
        <v>44486</v>
      </c>
      <c r="F353" s="37"/>
      <c r="G353" s="80"/>
      <c r="H353" s="119"/>
      <c r="I353" s="117">
        <v>44479</v>
      </c>
      <c r="J353" s="37"/>
      <c r="K353" s="37"/>
      <c r="L353" s="119"/>
      <c r="M353" s="119"/>
      <c r="N353" s="121" t="s">
        <v>85</v>
      </c>
      <c r="O353" s="121">
        <f>COUNTA(O341:O352)</f>
        <v>6</v>
      </c>
      <c r="P353" s="122">
        <f>IF(O353&lt;=$A$45,1,O353/$A$45)</f>
        <v>1</v>
      </c>
      <c r="Q353" s="119"/>
      <c r="R353" s="79">
        <v>1</v>
      </c>
      <c r="S353" s="132"/>
      <c r="U353" s="156">
        <v>44491</v>
      </c>
      <c r="W353" s="79"/>
      <c r="X353" s="119"/>
      <c r="Y353" s="119">
        <v>44491</v>
      </c>
      <c r="AA353" s="118"/>
      <c r="AC353" s="118">
        <v>44487</v>
      </c>
      <c r="AD353" s="79">
        <v>5</v>
      </c>
      <c r="AE353" s="118"/>
      <c r="AG353" s="118">
        <v>44483</v>
      </c>
      <c r="AH353" s="79">
        <v>3</v>
      </c>
      <c r="AI353" s="118"/>
      <c r="AK353" s="118">
        <v>44480</v>
      </c>
      <c r="AL353" s="146">
        <v>7</v>
      </c>
      <c r="AM353" s="162"/>
      <c r="AO353" s="156">
        <v>44498</v>
      </c>
      <c r="AQ353" s="118"/>
      <c r="AS353" s="156">
        <v>44498</v>
      </c>
      <c r="AU353" s="118"/>
      <c r="AW353" s="156">
        <v>44498</v>
      </c>
      <c r="AY353" s="118"/>
      <c r="BA353" s="156">
        <v>44498</v>
      </c>
      <c r="BC353" s="118"/>
      <c r="BE353" s="156">
        <v>44498</v>
      </c>
      <c r="BF353" s="79">
        <v>211</v>
      </c>
      <c r="BG353" s="118"/>
      <c r="BI353" s="156">
        <v>44498</v>
      </c>
      <c r="BK353" s="118"/>
      <c r="BM353" s="156">
        <v>44498</v>
      </c>
      <c r="BO353" s="118"/>
      <c r="BQ353" s="156">
        <v>44498</v>
      </c>
      <c r="BS353" s="118"/>
      <c r="BU353" s="156">
        <v>44498</v>
      </c>
      <c r="BW353" s="118"/>
      <c r="BY353" s="156">
        <v>44498</v>
      </c>
      <c r="BZ353" s="79">
        <v>211</v>
      </c>
      <c r="CA353" s="118"/>
    </row>
    <row r="354" spans="1:79">
      <c r="A354" s="129">
        <v>44492</v>
      </c>
      <c r="B354" s="37"/>
      <c r="C354" s="79"/>
      <c r="E354" s="80">
        <v>44487</v>
      </c>
      <c r="F354" s="120">
        <v>5</v>
      </c>
      <c r="G354" s="80"/>
      <c r="I354" s="118">
        <v>44480</v>
      </c>
      <c r="J354" s="79">
        <v>1</v>
      </c>
      <c r="K354" s="118"/>
      <c r="N354" s="118">
        <v>44474</v>
      </c>
      <c r="O354" s="79">
        <v>1</v>
      </c>
      <c r="P354" s="79">
        <v>2</v>
      </c>
      <c r="R354" s="79">
        <v>2</v>
      </c>
      <c r="S354" s="134"/>
      <c r="U354" s="152">
        <v>44492</v>
      </c>
      <c r="V354" s="37"/>
      <c r="W354" s="79"/>
      <c r="Y354" s="117">
        <v>44492</v>
      </c>
      <c r="Z354" s="37"/>
      <c r="AA354" s="118"/>
      <c r="AC354" s="118">
        <v>44488</v>
      </c>
      <c r="AD354" s="79">
        <v>6</v>
      </c>
      <c r="AE354" s="118"/>
      <c r="AG354" s="119">
        <v>44484</v>
      </c>
      <c r="AI354" s="118"/>
      <c r="AK354" s="119">
        <v>44481</v>
      </c>
      <c r="AL354" s="146">
        <v>8</v>
      </c>
      <c r="AM354" s="162"/>
      <c r="AO354" s="152">
        <v>44499</v>
      </c>
      <c r="AP354" s="37"/>
      <c r="AQ354" s="118"/>
      <c r="AR354" s="119"/>
      <c r="AS354" s="152">
        <v>44499</v>
      </c>
      <c r="AT354" s="37"/>
      <c r="AU354" s="118"/>
      <c r="AW354" s="152">
        <v>44499</v>
      </c>
      <c r="AX354" s="37"/>
      <c r="AY354" s="118"/>
      <c r="BA354" s="152">
        <v>44499</v>
      </c>
      <c r="BB354" s="37"/>
      <c r="BC354" s="118"/>
      <c r="BE354" s="152">
        <v>44499</v>
      </c>
      <c r="BF354" s="37"/>
      <c r="BG354" s="118"/>
      <c r="BI354" s="152">
        <v>44499</v>
      </c>
      <c r="BJ354" s="37"/>
      <c r="BK354" s="118"/>
      <c r="BL354" s="119"/>
      <c r="BM354" s="152">
        <v>44499</v>
      </c>
      <c r="BN354" s="37"/>
      <c r="BO354" s="118"/>
      <c r="BQ354" s="152">
        <v>44499</v>
      </c>
      <c r="BR354" s="37"/>
      <c r="BS354" s="118"/>
      <c r="BU354" s="152">
        <v>44499</v>
      </c>
      <c r="BV354" s="37"/>
      <c r="BW354" s="118"/>
      <c r="BY354" s="152">
        <v>44499</v>
      </c>
      <c r="BZ354" s="37"/>
      <c r="CA354" s="118"/>
    </row>
    <row r="355" spans="1:79">
      <c r="A355" s="129">
        <v>44493</v>
      </c>
      <c r="B355" s="37"/>
      <c r="C355" s="79"/>
      <c r="E355" s="80">
        <v>44488</v>
      </c>
      <c r="F355" s="120">
        <v>6</v>
      </c>
      <c r="G355" s="80"/>
      <c r="I355" s="118">
        <v>44481</v>
      </c>
      <c r="J355" s="79">
        <v>2</v>
      </c>
      <c r="K355" s="79"/>
      <c r="L355" s="37"/>
      <c r="M355" s="37"/>
      <c r="N355" s="118">
        <v>44475</v>
      </c>
      <c r="O355" s="79">
        <v>2</v>
      </c>
      <c r="P355" s="79">
        <v>3</v>
      </c>
      <c r="R355" s="37"/>
      <c r="S355" s="130"/>
      <c r="U355" s="152">
        <v>44493</v>
      </c>
      <c r="V355" s="37"/>
      <c r="W355" s="79"/>
      <c r="Y355" s="117">
        <v>44493</v>
      </c>
      <c r="Z355" s="37"/>
      <c r="AA355" s="118"/>
      <c r="AC355" s="118">
        <v>44489</v>
      </c>
      <c r="AD355" s="79">
        <v>7</v>
      </c>
      <c r="AE355" s="118"/>
      <c r="AG355" s="117">
        <v>44485</v>
      </c>
      <c r="AH355" s="37"/>
      <c r="AI355" s="118"/>
      <c r="AK355" s="119">
        <v>44482</v>
      </c>
      <c r="AL355" s="79">
        <v>9</v>
      </c>
      <c r="AM355" s="157"/>
      <c r="AO355" s="152">
        <v>44500</v>
      </c>
      <c r="AP355" s="37"/>
      <c r="AQ355" s="118"/>
      <c r="AS355" s="152">
        <v>44500</v>
      </c>
      <c r="AT355" s="37"/>
      <c r="AU355" s="118"/>
      <c r="AW355" s="152">
        <v>44500</v>
      </c>
      <c r="AX355" s="37"/>
      <c r="AY355" s="118"/>
      <c r="BA355" s="152">
        <v>44500</v>
      </c>
      <c r="BB355" s="37"/>
      <c r="BC355" s="118"/>
      <c r="BE355" s="152">
        <v>44500</v>
      </c>
      <c r="BF355" s="37"/>
      <c r="BG355" s="118"/>
      <c r="BI355" s="152">
        <v>44500</v>
      </c>
      <c r="BJ355" s="37"/>
      <c r="BK355" s="118"/>
      <c r="BM355" s="152">
        <v>44500</v>
      </c>
      <c r="BN355" s="37"/>
      <c r="BO355" s="118"/>
      <c r="BQ355" s="152">
        <v>44500</v>
      </c>
      <c r="BR355" s="37"/>
      <c r="BS355" s="118"/>
      <c r="BU355" s="152">
        <v>44500</v>
      </c>
      <c r="BV355" s="37"/>
      <c r="BW355" s="118"/>
      <c r="BY355" s="152">
        <v>44500</v>
      </c>
      <c r="BZ355" s="37"/>
      <c r="CA355" s="118"/>
    </row>
    <row r="356" spans="1:79">
      <c r="A356" s="131">
        <v>44494</v>
      </c>
      <c r="B356" s="79">
        <v>4</v>
      </c>
      <c r="C356" s="118"/>
      <c r="E356" s="121" t="s">
        <v>85</v>
      </c>
      <c r="F356" s="121">
        <f>COUNTA(F340:F355)</f>
        <v>6</v>
      </c>
      <c r="G356" s="122">
        <f>IF(F356&lt;=$A$45,1,F356/$A$45)</f>
        <v>1</v>
      </c>
      <c r="I356" s="118">
        <v>44482</v>
      </c>
      <c r="J356" s="79">
        <v>3</v>
      </c>
      <c r="K356" s="79"/>
      <c r="L356" s="37"/>
      <c r="M356" s="37"/>
      <c r="N356" s="118">
        <v>44476</v>
      </c>
      <c r="O356" s="79">
        <v>3</v>
      </c>
      <c r="P356" s="79">
        <v>4</v>
      </c>
      <c r="R356" s="37"/>
      <c r="S356" s="130"/>
      <c r="U356" s="154">
        <v>44494</v>
      </c>
      <c r="V356" s="79">
        <v>4</v>
      </c>
      <c r="W356" s="79"/>
      <c r="Y356" s="118">
        <v>44494</v>
      </c>
      <c r="Z356" s="79">
        <v>7</v>
      </c>
      <c r="AA356" s="118"/>
      <c r="AC356" s="119">
        <v>44490</v>
      </c>
      <c r="AE356" s="118"/>
      <c r="AG356" s="117">
        <v>44486</v>
      </c>
      <c r="AH356" s="37"/>
      <c r="AI356" s="118"/>
      <c r="AK356" s="119">
        <v>44483</v>
      </c>
      <c r="AL356" s="79">
        <v>10</v>
      </c>
      <c r="AM356" s="157"/>
      <c r="AO356" s="152">
        <v>44501</v>
      </c>
      <c r="AP356" s="37"/>
      <c r="AQ356" s="118"/>
      <c r="AS356" s="152">
        <v>44501</v>
      </c>
      <c r="AT356" s="37"/>
      <c r="AU356" s="118"/>
      <c r="AW356" s="152">
        <v>44501</v>
      </c>
      <c r="AX356" s="37"/>
      <c r="AY356" s="118"/>
      <c r="BA356" s="152">
        <v>44501</v>
      </c>
      <c r="BB356" s="37"/>
      <c r="BC356" s="118"/>
      <c r="BE356" s="152">
        <v>44501</v>
      </c>
      <c r="BF356" s="37"/>
      <c r="BG356" s="118"/>
      <c r="BI356" s="152">
        <v>44501</v>
      </c>
      <c r="BJ356" s="37"/>
      <c r="BK356" s="118"/>
      <c r="BM356" s="152">
        <v>44501</v>
      </c>
      <c r="BN356" s="37"/>
      <c r="BO356" s="118"/>
      <c r="BQ356" s="152">
        <v>44501</v>
      </c>
      <c r="BR356" s="37"/>
      <c r="BS356" s="118"/>
      <c r="BU356" s="152">
        <v>44501</v>
      </c>
      <c r="BV356" s="37"/>
      <c r="BW356" s="118"/>
      <c r="BY356" s="152">
        <v>44501</v>
      </c>
      <c r="BZ356" s="37"/>
      <c r="CA356" s="118"/>
    </row>
    <row r="357" spans="1:79">
      <c r="A357" s="133">
        <v>44495</v>
      </c>
      <c r="C357" s="79"/>
      <c r="D357" s="119"/>
      <c r="E357" s="119">
        <v>44489</v>
      </c>
      <c r="H357" s="119"/>
      <c r="I357" s="119">
        <v>44483</v>
      </c>
      <c r="K357" s="79"/>
      <c r="N357" s="119">
        <v>44477</v>
      </c>
      <c r="Q357" s="119"/>
      <c r="R357" s="79">
        <v>3</v>
      </c>
      <c r="S357" s="134"/>
      <c r="U357" s="156">
        <v>44495</v>
      </c>
      <c r="W357" s="79"/>
      <c r="Y357" s="118">
        <v>44495</v>
      </c>
      <c r="Z357" s="79">
        <v>8</v>
      </c>
      <c r="AA357" s="118"/>
      <c r="AC357" s="119">
        <v>44491</v>
      </c>
      <c r="AE357" s="118"/>
      <c r="AG357" s="118">
        <v>44487</v>
      </c>
      <c r="AH357" s="79">
        <v>4</v>
      </c>
      <c r="AI357" s="118"/>
      <c r="AK357" s="121" t="s">
        <v>85</v>
      </c>
      <c r="AL357" s="121">
        <f>COUNTA(AL343:AL356)</f>
        <v>10</v>
      </c>
      <c r="AM357" s="158">
        <f>IF(AL357&lt;=$U$45,1,AL357/$U$45)</f>
        <v>1</v>
      </c>
      <c r="AO357" s="154">
        <v>44502</v>
      </c>
      <c r="AP357" s="79">
        <v>43</v>
      </c>
      <c r="AQ357" s="118"/>
      <c r="AS357" s="154">
        <v>44502</v>
      </c>
      <c r="AT357" s="79">
        <v>87</v>
      </c>
      <c r="AU357" s="118"/>
      <c r="AW357" s="154">
        <v>44502</v>
      </c>
      <c r="AX357" s="79">
        <v>132</v>
      </c>
      <c r="AY357" s="118"/>
      <c r="BA357" s="154">
        <v>44502</v>
      </c>
      <c r="BB357" s="79">
        <v>173</v>
      </c>
      <c r="BC357" s="118"/>
      <c r="BE357" s="154">
        <v>44502</v>
      </c>
      <c r="BF357" s="79">
        <v>212</v>
      </c>
      <c r="BG357" s="118"/>
      <c r="BI357" s="154">
        <v>44502</v>
      </c>
      <c r="BJ357" s="79">
        <v>43</v>
      </c>
      <c r="BK357" s="118"/>
      <c r="BM357" s="154">
        <v>44502</v>
      </c>
      <c r="BN357" s="79">
        <v>87</v>
      </c>
      <c r="BO357" s="118"/>
      <c r="BQ357" s="154">
        <v>44502</v>
      </c>
      <c r="BR357" s="79">
        <v>132</v>
      </c>
      <c r="BS357" s="118"/>
      <c r="BU357" s="154">
        <v>44502</v>
      </c>
      <c r="BV357" s="79">
        <v>173</v>
      </c>
      <c r="BW357" s="118"/>
      <c r="BY357" s="154">
        <v>44502</v>
      </c>
      <c r="BZ357" s="79">
        <v>212</v>
      </c>
      <c r="CA357" s="118"/>
    </row>
    <row r="358" spans="1:79">
      <c r="A358" s="133">
        <v>44496</v>
      </c>
      <c r="C358" s="79"/>
      <c r="E358" s="119">
        <v>44490</v>
      </c>
      <c r="I358" s="119">
        <v>44484</v>
      </c>
      <c r="K358" s="79"/>
      <c r="L358" s="119"/>
      <c r="M358" s="119"/>
      <c r="N358" s="117">
        <v>44478</v>
      </c>
      <c r="O358" s="37"/>
      <c r="P358" s="37"/>
      <c r="R358" s="79">
        <v>4</v>
      </c>
      <c r="S358" s="134"/>
      <c r="U358" s="156">
        <v>44496</v>
      </c>
      <c r="W358" s="79"/>
      <c r="Y358" s="119">
        <v>44496</v>
      </c>
      <c r="AA358" s="118"/>
      <c r="AC358" s="117">
        <v>44492</v>
      </c>
      <c r="AD358" s="37"/>
      <c r="AE358" s="118"/>
      <c r="AG358" s="118">
        <v>44488</v>
      </c>
      <c r="AH358" s="79">
        <v>5</v>
      </c>
      <c r="AI358" s="118"/>
      <c r="AK358" s="119">
        <v>44484</v>
      </c>
      <c r="AL358">
        <v>1</v>
      </c>
      <c r="AM358" s="148"/>
      <c r="AO358" s="156">
        <v>44503</v>
      </c>
      <c r="AQ358" s="118"/>
      <c r="AS358" s="156">
        <v>44503</v>
      </c>
      <c r="AT358">
        <v>88</v>
      </c>
      <c r="AU358" s="118"/>
      <c r="AW358" s="156">
        <v>44503</v>
      </c>
      <c r="AX358">
        <v>133</v>
      </c>
      <c r="AY358" s="118"/>
      <c r="BA358" s="156">
        <v>44503</v>
      </c>
      <c r="BB358" s="79">
        <v>174</v>
      </c>
      <c r="BC358" s="118"/>
      <c r="BE358" s="156">
        <v>44503</v>
      </c>
      <c r="BF358" s="79">
        <v>213</v>
      </c>
      <c r="BG358" s="118"/>
      <c r="BI358" s="156">
        <v>44503</v>
      </c>
      <c r="BK358" s="118"/>
      <c r="BM358" s="156">
        <v>44503</v>
      </c>
      <c r="BN358">
        <v>88</v>
      </c>
      <c r="BO358" s="118"/>
      <c r="BQ358" s="156">
        <v>44503</v>
      </c>
      <c r="BR358">
        <v>133</v>
      </c>
      <c r="BS358" s="118"/>
      <c r="BU358" s="156">
        <v>44503</v>
      </c>
      <c r="BV358" s="79">
        <v>174</v>
      </c>
      <c r="BW358" s="118"/>
      <c r="BY358" s="156">
        <v>44503</v>
      </c>
      <c r="BZ358" s="79">
        <v>213</v>
      </c>
      <c r="CA358" s="118"/>
    </row>
    <row r="359" spans="1:79">
      <c r="A359" s="133">
        <v>44497</v>
      </c>
      <c r="C359" s="79"/>
      <c r="E359" s="119">
        <v>44491</v>
      </c>
      <c r="I359" s="117">
        <v>44485</v>
      </c>
      <c r="J359" s="37"/>
      <c r="K359" s="79"/>
      <c r="N359" s="117">
        <v>44479</v>
      </c>
      <c r="O359" s="37"/>
      <c r="P359" s="37"/>
      <c r="R359" s="79">
        <v>5</v>
      </c>
      <c r="S359" s="134"/>
      <c r="U359" s="156">
        <v>44497</v>
      </c>
      <c r="W359" s="79"/>
      <c r="Y359" s="119">
        <v>44497</v>
      </c>
      <c r="AA359" s="118"/>
      <c r="AC359" s="117">
        <v>44493</v>
      </c>
      <c r="AD359" s="37"/>
      <c r="AE359" s="118"/>
      <c r="AG359" s="118">
        <v>44489</v>
      </c>
      <c r="AH359" s="79">
        <v>6</v>
      </c>
      <c r="AI359" s="118"/>
      <c r="AK359" s="117">
        <v>44485</v>
      </c>
      <c r="AL359" s="37"/>
      <c r="AM359" s="148"/>
      <c r="AO359" s="156">
        <v>44504</v>
      </c>
      <c r="AQ359" s="118"/>
      <c r="AS359" s="156">
        <v>44504</v>
      </c>
      <c r="AU359" s="118"/>
      <c r="AW359" s="156">
        <v>44504</v>
      </c>
      <c r="AX359">
        <v>134</v>
      </c>
      <c r="AY359" s="118"/>
      <c r="BA359" s="156">
        <v>44504</v>
      </c>
      <c r="BB359" s="79">
        <v>175</v>
      </c>
      <c r="BC359" s="118"/>
      <c r="BE359" s="156">
        <v>44504</v>
      </c>
      <c r="BF359" s="79">
        <v>214</v>
      </c>
      <c r="BG359" s="118"/>
      <c r="BI359" s="156">
        <v>44504</v>
      </c>
      <c r="BK359" s="118"/>
      <c r="BM359" s="156">
        <v>44504</v>
      </c>
      <c r="BO359" s="118"/>
      <c r="BQ359" s="156">
        <v>44504</v>
      </c>
      <c r="BR359">
        <v>134</v>
      </c>
      <c r="BS359" s="118"/>
      <c r="BU359" s="156">
        <v>44504</v>
      </c>
      <c r="BV359" s="79">
        <v>175</v>
      </c>
      <c r="BW359" s="118"/>
      <c r="BY359" s="156">
        <v>44504</v>
      </c>
      <c r="BZ359" s="79">
        <v>214</v>
      </c>
      <c r="CA359" s="118"/>
    </row>
    <row r="360" spans="1:79">
      <c r="A360" s="133">
        <v>44498</v>
      </c>
      <c r="C360" s="118"/>
      <c r="E360" s="117">
        <v>44492</v>
      </c>
      <c r="F360" s="37"/>
      <c r="G360" s="37"/>
      <c r="I360" s="117">
        <v>44486</v>
      </c>
      <c r="J360" s="37"/>
      <c r="K360" s="79"/>
      <c r="N360" s="118">
        <v>44480</v>
      </c>
      <c r="O360" s="79">
        <v>4</v>
      </c>
      <c r="P360" s="79">
        <v>1</v>
      </c>
      <c r="R360" s="79">
        <v>6</v>
      </c>
      <c r="S360" s="134"/>
      <c r="U360" s="156">
        <v>44498</v>
      </c>
      <c r="W360" s="79"/>
      <c r="Y360" s="119">
        <v>44498</v>
      </c>
      <c r="AA360" s="118"/>
      <c r="AC360" s="118">
        <v>44494</v>
      </c>
      <c r="AD360" s="79">
        <v>8</v>
      </c>
      <c r="AE360" s="118"/>
      <c r="AG360" s="118">
        <v>44490</v>
      </c>
      <c r="AH360" s="79">
        <v>7</v>
      </c>
      <c r="AI360" s="118"/>
      <c r="AK360" s="117">
        <v>44486</v>
      </c>
      <c r="AL360" s="37"/>
      <c r="AM360" s="148"/>
      <c r="AO360" s="156">
        <v>44505</v>
      </c>
      <c r="AQ360" s="118"/>
      <c r="AS360" s="156">
        <v>44505</v>
      </c>
      <c r="AU360" s="118"/>
      <c r="AW360" s="156">
        <v>44505</v>
      </c>
      <c r="AY360" s="118"/>
      <c r="BA360" s="156">
        <v>44505</v>
      </c>
      <c r="BB360" s="79">
        <v>176</v>
      </c>
      <c r="BC360" s="118"/>
      <c r="BE360" s="156">
        <v>44505</v>
      </c>
      <c r="BF360" s="79">
        <v>215</v>
      </c>
      <c r="BG360" s="118"/>
      <c r="BI360" s="156">
        <v>44505</v>
      </c>
      <c r="BK360" s="118"/>
      <c r="BM360" s="156">
        <v>44505</v>
      </c>
      <c r="BO360" s="118"/>
      <c r="BQ360" s="156">
        <v>44505</v>
      </c>
      <c r="BS360" s="118"/>
      <c r="BU360" s="156">
        <v>44505</v>
      </c>
      <c r="BV360" s="79">
        <v>176</v>
      </c>
      <c r="BW360" s="118"/>
      <c r="BY360" s="156">
        <v>44505</v>
      </c>
      <c r="BZ360" s="79">
        <v>215</v>
      </c>
      <c r="CA360" s="118"/>
    </row>
    <row r="361" spans="1:79">
      <c r="A361" s="129">
        <v>44499</v>
      </c>
      <c r="B361" s="37"/>
      <c r="C361" s="79"/>
      <c r="D361" s="119"/>
      <c r="E361" s="117">
        <v>44493</v>
      </c>
      <c r="F361" s="37"/>
      <c r="G361" s="37"/>
      <c r="H361" s="119"/>
      <c r="I361" s="118">
        <v>44487</v>
      </c>
      <c r="J361" s="79">
        <v>3</v>
      </c>
      <c r="K361" s="79"/>
      <c r="L361" s="119"/>
      <c r="M361" s="119"/>
      <c r="N361" s="118">
        <v>44481</v>
      </c>
      <c r="O361" s="79">
        <v>5</v>
      </c>
      <c r="P361" s="79">
        <v>2</v>
      </c>
      <c r="Q361" s="119"/>
      <c r="R361" s="120">
        <v>1</v>
      </c>
      <c r="S361" s="135"/>
      <c r="U361" s="152">
        <v>44499</v>
      </c>
      <c r="V361" s="37"/>
      <c r="W361" s="79"/>
      <c r="X361" s="119"/>
      <c r="Y361" s="117">
        <v>44499</v>
      </c>
      <c r="Z361" s="37"/>
      <c r="AA361" s="118"/>
      <c r="AC361" s="118">
        <v>44495</v>
      </c>
      <c r="AD361" s="79">
        <v>9</v>
      </c>
      <c r="AE361" s="118"/>
      <c r="AG361" s="119">
        <v>44491</v>
      </c>
      <c r="AI361" s="118"/>
      <c r="AK361" s="118">
        <v>44487</v>
      </c>
      <c r="AL361" s="79">
        <v>2</v>
      </c>
      <c r="AM361" s="157"/>
      <c r="AO361" s="152">
        <v>44506</v>
      </c>
      <c r="AP361" s="37"/>
      <c r="AQ361" s="118"/>
      <c r="AS361" s="152">
        <v>44506</v>
      </c>
      <c r="AT361" s="37"/>
      <c r="AU361" s="118"/>
      <c r="AW361" s="152">
        <v>44506</v>
      </c>
      <c r="AX361" s="37"/>
      <c r="AY361" s="118"/>
      <c r="BA361" s="152">
        <v>44506</v>
      </c>
      <c r="BB361" s="37"/>
      <c r="BC361" s="118"/>
      <c r="BE361" s="152">
        <v>44506</v>
      </c>
      <c r="BF361" s="37"/>
      <c r="BG361" s="118"/>
      <c r="BI361" s="152">
        <v>44506</v>
      </c>
      <c r="BJ361" s="37"/>
      <c r="BK361" s="118"/>
      <c r="BM361" s="152">
        <v>44506</v>
      </c>
      <c r="BN361" s="37"/>
      <c r="BO361" s="118"/>
      <c r="BQ361" s="152">
        <v>44506</v>
      </c>
      <c r="BR361" s="37"/>
      <c r="BS361" s="118"/>
      <c r="BU361" s="152">
        <v>44506</v>
      </c>
      <c r="BV361" s="37"/>
      <c r="BW361" s="118"/>
      <c r="BY361" s="152">
        <v>44506</v>
      </c>
      <c r="BZ361" s="37"/>
      <c r="CA361" s="118"/>
    </row>
    <row r="362" spans="1:79">
      <c r="A362" s="129">
        <v>44500</v>
      </c>
      <c r="B362" s="37"/>
      <c r="C362" s="79"/>
      <c r="E362" s="118">
        <v>44494</v>
      </c>
      <c r="F362" s="79">
        <v>1</v>
      </c>
      <c r="G362" s="118"/>
      <c r="I362" s="118">
        <v>44488</v>
      </c>
      <c r="J362" s="79">
        <v>4</v>
      </c>
      <c r="K362" s="79"/>
      <c r="L362" s="37"/>
      <c r="M362" s="37"/>
      <c r="N362" s="118">
        <v>44482</v>
      </c>
      <c r="O362" s="79">
        <v>6</v>
      </c>
      <c r="P362" s="79">
        <v>3</v>
      </c>
      <c r="R362" s="37"/>
      <c r="S362" s="130"/>
      <c r="U362" s="152">
        <v>44500</v>
      </c>
      <c r="V362" s="37"/>
      <c r="W362" s="79"/>
      <c r="Y362" s="117">
        <v>44500</v>
      </c>
      <c r="Z362" s="37"/>
      <c r="AA362" s="118"/>
      <c r="AC362" s="118">
        <v>44496</v>
      </c>
      <c r="AD362" s="79">
        <v>10</v>
      </c>
      <c r="AE362" s="118"/>
      <c r="AG362" s="117">
        <v>44492</v>
      </c>
      <c r="AH362" s="37"/>
      <c r="AI362" s="118"/>
      <c r="AK362" s="119">
        <v>44488</v>
      </c>
      <c r="AL362" s="79">
        <v>3</v>
      </c>
      <c r="AM362" s="157"/>
      <c r="AO362" s="152">
        <v>44507</v>
      </c>
      <c r="AP362" s="37"/>
      <c r="AQ362" s="118"/>
      <c r="AR362" s="119"/>
      <c r="AS362" s="152">
        <v>44507</v>
      </c>
      <c r="AT362" s="37"/>
      <c r="AU362" s="118"/>
      <c r="AW362" s="152">
        <v>44507</v>
      </c>
      <c r="AX362" s="37"/>
      <c r="AY362" s="118"/>
      <c r="BA362" s="152">
        <v>44507</v>
      </c>
      <c r="BB362" s="37"/>
      <c r="BC362" s="118"/>
      <c r="BE362" s="152">
        <v>44507</v>
      </c>
      <c r="BF362" s="37"/>
      <c r="BG362" s="118"/>
      <c r="BI362" s="152">
        <v>44507</v>
      </c>
      <c r="BJ362" s="37"/>
      <c r="BK362" s="118"/>
      <c r="BL362" s="119"/>
      <c r="BM362" s="152">
        <v>44507</v>
      </c>
      <c r="BN362" s="37"/>
      <c r="BO362" s="118"/>
      <c r="BQ362" s="152">
        <v>44507</v>
      </c>
      <c r="BR362" s="37"/>
      <c r="BS362" s="118"/>
      <c r="BU362" s="152">
        <v>44507</v>
      </c>
      <c r="BV362" s="37"/>
      <c r="BW362" s="118"/>
      <c r="BY362" s="152">
        <v>44507</v>
      </c>
      <c r="BZ362" s="37"/>
      <c r="CA362" s="118"/>
    </row>
    <row r="363" spans="1:79">
      <c r="A363" s="129">
        <v>44501</v>
      </c>
      <c r="B363" s="37"/>
      <c r="C363" s="79"/>
      <c r="E363" s="118">
        <v>44495</v>
      </c>
      <c r="F363" s="79">
        <v>2</v>
      </c>
      <c r="G363" s="118"/>
      <c r="I363" s="118">
        <v>44489</v>
      </c>
      <c r="J363" s="79">
        <v>5</v>
      </c>
      <c r="K363" s="79"/>
      <c r="L363" s="37"/>
      <c r="M363" s="37"/>
      <c r="N363" s="121" t="s">
        <v>85</v>
      </c>
      <c r="O363" s="121">
        <f>COUNTA(O354:O362)</f>
        <v>6</v>
      </c>
      <c r="P363" s="122">
        <f>IF(O363&lt;=$A$45,1,O363/$A$45)</f>
        <v>1</v>
      </c>
      <c r="R363" s="37"/>
      <c r="S363" s="130"/>
      <c r="U363" s="152">
        <v>44501</v>
      </c>
      <c r="V363" s="37"/>
      <c r="W363" s="79"/>
      <c r="Y363" s="117">
        <v>44501</v>
      </c>
      <c r="Z363" s="37"/>
      <c r="AA363" s="118"/>
      <c r="AC363" s="121" t="s">
        <v>85</v>
      </c>
      <c r="AD363" s="121">
        <f>COUNTA(AD341:AD362)</f>
        <v>10</v>
      </c>
      <c r="AE363" s="122">
        <f>IF(AD363&lt;=$U$45,1,AD363/$U$45)</f>
        <v>1</v>
      </c>
      <c r="AG363" s="117">
        <v>44493</v>
      </c>
      <c r="AH363" s="37"/>
      <c r="AI363" s="118"/>
      <c r="AK363" s="119">
        <v>44489</v>
      </c>
      <c r="AL363" s="79">
        <v>4</v>
      </c>
      <c r="AM363" s="157"/>
      <c r="AO363" s="154">
        <v>44508</v>
      </c>
      <c r="AP363" s="79">
        <v>44</v>
      </c>
      <c r="AQ363" s="118"/>
      <c r="AS363" s="154">
        <v>44508</v>
      </c>
      <c r="AT363" s="79">
        <v>89</v>
      </c>
      <c r="AU363" s="118"/>
      <c r="AW363" s="154">
        <v>44508</v>
      </c>
      <c r="AX363" s="79">
        <v>135</v>
      </c>
      <c r="AY363" s="118"/>
      <c r="BA363" s="154">
        <v>44508</v>
      </c>
      <c r="BB363" s="79">
        <v>177</v>
      </c>
      <c r="BC363" s="118"/>
      <c r="BE363" s="154">
        <v>44508</v>
      </c>
      <c r="BF363" s="79">
        <v>216</v>
      </c>
      <c r="BG363" s="118"/>
      <c r="BI363" s="154">
        <v>44508</v>
      </c>
      <c r="BJ363" s="79">
        <v>44</v>
      </c>
      <c r="BK363" s="118"/>
      <c r="BM363" s="154">
        <v>44508</v>
      </c>
      <c r="BN363" s="79">
        <v>89</v>
      </c>
      <c r="BO363" s="118"/>
      <c r="BQ363" s="154">
        <v>44508</v>
      </c>
      <c r="BR363" s="79">
        <v>135</v>
      </c>
      <c r="BS363" s="118"/>
      <c r="BU363" s="154">
        <v>44508</v>
      </c>
      <c r="BV363" s="79">
        <v>177</v>
      </c>
      <c r="BW363" s="118"/>
      <c r="BY363" s="154">
        <v>44508</v>
      </c>
      <c r="BZ363" s="79">
        <v>216</v>
      </c>
      <c r="CA363" s="118"/>
    </row>
    <row r="364" spans="1:79">
      <c r="A364" s="131">
        <v>44502</v>
      </c>
      <c r="B364" s="79">
        <v>5</v>
      </c>
      <c r="C364" s="79"/>
      <c r="E364" s="119">
        <v>44496</v>
      </c>
      <c r="G364" s="118"/>
      <c r="I364" s="121" t="s">
        <v>85</v>
      </c>
      <c r="J364" s="121">
        <f>COUNTA(J354:J363)</f>
        <v>6</v>
      </c>
      <c r="K364" s="122">
        <f>IF(J364&lt;=$A$45,1,J364/$A$45)</f>
        <v>1</v>
      </c>
      <c r="L364" s="37"/>
      <c r="M364" s="37"/>
      <c r="N364" s="80">
        <v>44483</v>
      </c>
      <c r="O364" s="120">
        <v>1</v>
      </c>
      <c r="P364" s="120">
        <v>4</v>
      </c>
      <c r="R364" s="37"/>
      <c r="S364" s="130"/>
      <c r="U364" s="154">
        <v>44502</v>
      </c>
      <c r="V364" s="79">
        <v>5</v>
      </c>
      <c r="W364" s="79"/>
      <c r="Y364" s="118">
        <v>44502</v>
      </c>
      <c r="Z364" s="79">
        <v>9</v>
      </c>
      <c r="AA364" s="118"/>
      <c r="AC364" s="119">
        <v>44497</v>
      </c>
      <c r="AG364" s="118">
        <v>44494</v>
      </c>
      <c r="AH364" s="79">
        <v>8</v>
      </c>
      <c r="AI364" s="118"/>
      <c r="AK364" s="119">
        <v>44490</v>
      </c>
      <c r="AL364" s="79">
        <v>5</v>
      </c>
      <c r="AM364" s="157"/>
      <c r="AO364" s="156">
        <v>44509</v>
      </c>
      <c r="AQ364" s="118"/>
      <c r="AS364" s="156">
        <v>44509</v>
      </c>
      <c r="AT364">
        <v>90</v>
      </c>
      <c r="AU364" s="118"/>
      <c r="AW364" s="156">
        <v>44509</v>
      </c>
      <c r="AX364">
        <v>136</v>
      </c>
      <c r="AY364" s="118"/>
      <c r="BA364" s="156">
        <v>44509</v>
      </c>
      <c r="BB364" s="79">
        <v>178</v>
      </c>
      <c r="BC364" s="118"/>
      <c r="BE364" s="156">
        <v>44509</v>
      </c>
      <c r="BF364" s="79">
        <v>217</v>
      </c>
      <c r="BG364" s="118"/>
      <c r="BI364" s="156">
        <v>44509</v>
      </c>
      <c r="BK364" s="118"/>
      <c r="BM364" s="156">
        <v>44509</v>
      </c>
      <c r="BN364">
        <v>90</v>
      </c>
      <c r="BO364" s="118"/>
      <c r="BQ364" s="156">
        <v>44509</v>
      </c>
      <c r="BR364">
        <v>136</v>
      </c>
      <c r="BS364" s="118"/>
      <c r="BU364" s="156">
        <v>44509</v>
      </c>
      <c r="BV364" s="79">
        <v>178</v>
      </c>
      <c r="BW364" s="118"/>
      <c r="BY364" s="156">
        <v>44509</v>
      </c>
      <c r="BZ364" s="79">
        <v>217</v>
      </c>
      <c r="CA364" s="118"/>
    </row>
    <row r="365" spans="1:79">
      <c r="A365" s="133">
        <v>44503</v>
      </c>
      <c r="C365" s="79"/>
      <c r="E365" s="119">
        <v>44497</v>
      </c>
      <c r="G365" s="118"/>
      <c r="I365" s="119">
        <v>44490</v>
      </c>
      <c r="K365" s="119"/>
      <c r="N365" s="119">
        <v>44484</v>
      </c>
      <c r="R365" s="120">
        <v>2</v>
      </c>
      <c r="S365" s="125"/>
      <c r="U365" s="156">
        <v>44503</v>
      </c>
      <c r="W365" s="79"/>
      <c r="X365" s="119"/>
      <c r="Y365" s="118">
        <v>44503</v>
      </c>
      <c r="Z365" s="79">
        <v>10</v>
      </c>
      <c r="AA365" s="118"/>
      <c r="AC365" s="119">
        <v>44498</v>
      </c>
      <c r="AG365" s="118">
        <v>44495</v>
      </c>
      <c r="AH365" s="79">
        <v>9</v>
      </c>
      <c r="AI365" s="118"/>
      <c r="AK365" s="119">
        <v>44491</v>
      </c>
      <c r="AL365" s="79">
        <v>6</v>
      </c>
      <c r="AM365" s="148"/>
      <c r="AO365" s="156">
        <v>44510</v>
      </c>
      <c r="AQ365" s="118"/>
      <c r="AS365" s="156">
        <v>44510</v>
      </c>
      <c r="AU365" s="118"/>
      <c r="AW365" s="156">
        <v>44510</v>
      </c>
      <c r="AX365">
        <v>137</v>
      </c>
      <c r="AY365" s="118"/>
      <c r="BA365" s="156">
        <v>44510</v>
      </c>
      <c r="BB365" s="79">
        <v>179</v>
      </c>
      <c r="BC365" s="118"/>
      <c r="BE365" s="156">
        <v>44510</v>
      </c>
      <c r="BF365" s="79">
        <v>218</v>
      </c>
      <c r="BG365" s="118"/>
      <c r="BI365" s="156">
        <v>44510</v>
      </c>
      <c r="BK365" s="118"/>
      <c r="BM365" s="156">
        <v>44510</v>
      </c>
      <c r="BO365" s="118"/>
      <c r="BQ365" s="156">
        <v>44510</v>
      </c>
      <c r="BR365">
        <v>137</v>
      </c>
      <c r="BS365" s="118"/>
      <c r="BU365" s="156">
        <v>44510</v>
      </c>
      <c r="BV365" s="79">
        <v>179</v>
      </c>
      <c r="BW365" s="118"/>
      <c r="BY365" s="156">
        <v>44510</v>
      </c>
      <c r="BZ365" s="79">
        <v>218</v>
      </c>
      <c r="CA365" s="118"/>
    </row>
    <row r="366" spans="1:79">
      <c r="A366" s="136" t="s">
        <v>85</v>
      </c>
      <c r="B366" s="121">
        <f>COUNTA(B335:B365)</f>
        <v>5</v>
      </c>
      <c r="C366" s="122">
        <f>IF(B366&lt;=$A$45,1,B366/$A$45)</f>
        <v>1</v>
      </c>
      <c r="E366" s="119">
        <v>44498</v>
      </c>
      <c r="G366" s="118"/>
      <c r="I366" s="119">
        <v>44491</v>
      </c>
      <c r="N366" s="117">
        <v>44485</v>
      </c>
      <c r="O366" s="37"/>
      <c r="P366" s="37"/>
      <c r="R366" s="120">
        <v>3</v>
      </c>
      <c r="S366" s="125"/>
      <c r="U366" s="160" t="s">
        <v>85</v>
      </c>
      <c r="V366" s="121">
        <f>COUNTA(V336:V364)</f>
        <v>4</v>
      </c>
      <c r="W366" s="122">
        <f>IF(V366&lt;=$U$45,1,V366/$U$45)</f>
        <v>1</v>
      </c>
      <c r="Y366" s="121" t="s">
        <v>85</v>
      </c>
      <c r="Z366" s="121">
        <f>COUNTA(Z335:Z365)</f>
        <v>10</v>
      </c>
      <c r="AA366" s="122">
        <f>IF(Z366&lt;=$U$45,1,Z366/$U$45)</f>
        <v>1</v>
      </c>
      <c r="AC366" s="117">
        <v>44499</v>
      </c>
      <c r="AD366" s="37"/>
      <c r="AE366" s="37"/>
      <c r="AG366" s="118">
        <v>44496</v>
      </c>
      <c r="AH366" s="79">
        <v>10</v>
      </c>
      <c r="AI366" s="118"/>
      <c r="AK366" s="117">
        <v>44492</v>
      </c>
      <c r="AL366" s="37"/>
      <c r="AM366" s="148"/>
      <c r="AO366" s="152">
        <v>44511</v>
      </c>
      <c r="AP366" s="37"/>
      <c r="AQ366" s="118"/>
      <c r="AR366" s="119"/>
      <c r="AS366" s="152">
        <v>44511</v>
      </c>
      <c r="AT366" s="37"/>
      <c r="AU366" s="118"/>
      <c r="AW366" s="152">
        <v>44511</v>
      </c>
      <c r="AX366" s="37"/>
      <c r="AY366" s="118"/>
      <c r="BA366" s="152">
        <v>44511</v>
      </c>
      <c r="BB366" s="37"/>
      <c r="BC366" s="118"/>
      <c r="BE366" s="152">
        <v>44511</v>
      </c>
      <c r="BF366" s="37"/>
      <c r="BG366" s="118"/>
      <c r="BI366" s="152">
        <v>44511</v>
      </c>
      <c r="BJ366" s="37"/>
      <c r="BK366" s="118"/>
      <c r="BL366" s="119"/>
      <c r="BM366" s="152">
        <v>44511</v>
      </c>
      <c r="BN366" s="37"/>
      <c r="BO366" s="118"/>
      <c r="BQ366" s="152">
        <v>44511</v>
      </c>
      <c r="BR366" s="37"/>
      <c r="BS366" s="118"/>
      <c r="BU366" s="152">
        <v>44511</v>
      </c>
      <c r="BV366" s="37"/>
      <c r="BW366" s="118"/>
      <c r="BY366" s="152">
        <v>44511</v>
      </c>
      <c r="BZ366" s="37"/>
      <c r="CA366" s="118"/>
    </row>
    <row r="367" spans="1:79">
      <c r="A367" s="133">
        <v>44504</v>
      </c>
      <c r="D367" s="72"/>
      <c r="E367" s="117">
        <v>44499</v>
      </c>
      <c r="F367" s="37"/>
      <c r="G367" s="118"/>
      <c r="H367" s="72"/>
      <c r="I367" s="117">
        <v>44492</v>
      </c>
      <c r="J367" s="37"/>
      <c r="K367" s="37"/>
      <c r="L367" s="122"/>
      <c r="M367" s="122"/>
      <c r="N367" s="117">
        <v>44486</v>
      </c>
      <c r="O367" s="37"/>
      <c r="P367" s="37"/>
      <c r="Q367" s="72"/>
      <c r="R367" s="121">
        <f>COUNTA(R336:R366)</f>
        <v>22</v>
      </c>
      <c r="S367" s="137">
        <f>IF(R367&lt;=$A$45,1,R367/$A$45)</f>
        <v>3.6666666666666665</v>
      </c>
      <c r="U367" s="156">
        <v>44504</v>
      </c>
      <c r="X367" s="72"/>
      <c r="Y367" s="119">
        <v>44504</v>
      </c>
      <c r="AC367" s="117">
        <v>44500</v>
      </c>
      <c r="AD367" s="37"/>
      <c r="AE367" s="37"/>
      <c r="AG367" s="121" t="s">
        <v>85</v>
      </c>
      <c r="AH367" s="121">
        <f>COUNTA(AH351:AH366)</f>
        <v>10</v>
      </c>
      <c r="AI367" s="122">
        <f>IF(AH367&lt;=$U$45,1,AH367/$U$45)</f>
        <v>1</v>
      </c>
      <c r="AK367" s="117">
        <v>44493</v>
      </c>
      <c r="AL367" s="37"/>
      <c r="AM367" s="148"/>
      <c r="AO367" s="156">
        <v>44512</v>
      </c>
      <c r="AQ367" s="118"/>
      <c r="AS367" s="156">
        <v>44512</v>
      </c>
      <c r="AU367" s="118"/>
      <c r="AW367" s="156">
        <v>44512</v>
      </c>
      <c r="AY367" s="118"/>
      <c r="BA367" s="156">
        <v>44512</v>
      </c>
      <c r="BB367" s="79">
        <v>180</v>
      </c>
      <c r="BC367" s="118"/>
      <c r="BE367" s="156">
        <v>44512</v>
      </c>
      <c r="BF367" s="79">
        <v>219</v>
      </c>
      <c r="BG367" s="118"/>
      <c r="BI367" s="156">
        <v>44512</v>
      </c>
      <c r="BK367" s="118"/>
      <c r="BM367" s="156">
        <v>44512</v>
      </c>
      <c r="BO367" s="118"/>
      <c r="BQ367" s="156">
        <v>44512</v>
      </c>
      <c r="BS367" s="118"/>
      <c r="BU367" s="156">
        <v>44512</v>
      </c>
      <c r="BV367" s="79">
        <v>180</v>
      </c>
      <c r="BW367" s="118"/>
      <c r="BY367" s="156">
        <v>44512</v>
      </c>
      <c r="BZ367" s="79">
        <v>219</v>
      </c>
      <c r="CA367" s="118"/>
    </row>
    <row r="368" spans="1:79">
      <c r="A368" s="133">
        <v>44505</v>
      </c>
      <c r="E368" s="117">
        <v>44500</v>
      </c>
      <c r="F368" s="37"/>
      <c r="G368" s="118"/>
      <c r="I368" s="117">
        <v>44493</v>
      </c>
      <c r="J368" s="37"/>
      <c r="K368" s="37"/>
      <c r="N368" s="80">
        <v>44487</v>
      </c>
      <c r="O368" s="120">
        <v>2</v>
      </c>
      <c r="P368" s="120">
        <v>1</v>
      </c>
      <c r="R368" s="120">
        <v>4</v>
      </c>
      <c r="S368" s="125"/>
      <c r="U368" s="156">
        <v>44505</v>
      </c>
      <c r="W368" s="119"/>
      <c r="Y368" s="119">
        <v>44505</v>
      </c>
      <c r="AC368" s="117">
        <v>44501</v>
      </c>
      <c r="AD368" s="37"/>
      <c r="AE368" s="37"/>
      <c r="AG368" s="80">
        <v>44497</v>
      </c>
      <c r="AH368" s="120">
        <v>1</v>
      </c>
      <c r="AI368" s="80"/>
      <c r="AK368" s="118">
        <v>44494</v>
      </c>
      <c r="AL368" s="79">
        <v>7</v>
      </c>
      <c r="AM368" s="157"/>
      <c r="AO368" s="152">
        <v>44513</v>
      </c>
      <c r="AP368" s="37"/>
      <c r="AQ368" s="118"/>
      <c r="AR368" s="72"/>
      <c r="AS368" s="152">
        <v>44513</v>
      </c>
      <c r="AT368" s="37"/>
      <c r="AU368" s="118"/>
      <c r="AW368" s="152">
        <v>44513</v>
      </c>
      <c r="AX368" s="37"/>
      <c r="AY368" s="118"/>
      <c r="BA368" s="152">
        <v>44513</v>
      </c>
      <c r="BB368" s="37"/>
      <c r="BC368" s="118"/>
      <c r="BE368" s="152">
        <v>44513</v>
      </c>
      <c r="BF368" s="37"/>
      <c r="BG368" s="118"/>
      <c r="BI368" s="152">
        <v>44513</v>
      </c>
      <c r="BJ368" s="37"/>
      <c r="BK368" s="118"/>
      <c r="BL368" s="72"/>
      <c r="BM368" s="152">
        <v>44513</v>
      </c>
      <c r="BN368" s="37"/>
      <c r="BO368" s="118"/>
      <c r="BQ368" s="152">
        <v>44513</v>
      </c>
      <c r="BR368" s="37"/>
      <c r="BS368" s="118"/>
      <c r="BU368" s="152">
        <v>44513</v>
      </c>
      <c r="BV368" s="37"/>
      <c r="BW368" s="118"/>
      <c r="BY368" s="152">
        <v>44513</v>
      </c>
      <c r="BZ368" s="37"/>
      <c r="CA368" s="118"/>
    </row>
    <row r="369" spans="1:79">
      <c r="A369" s="129">
        <v>44506</v>
      </c>
      <c r="B369" s="37"/>
      <c r="C369" s="37"/>
      <c r="E369" s="117">
        <v>44501</v>
      </c>
      <c r="F369" s="37"/>
      <c r="G369" s="118"/>
      <c r="I369" s="80">
        <v>44494</v>
      </c>
      <c r="J369" s="120">
        <v>1</v>
      </c>
      <c r="K369" s="80"/>
      <c r="N369" s="80">
        <v>44488</v>
      </c>
      <c r="O369" s="120">
        <v>3</v>
      </c>
      <c r="P369" s="120">
        <v>2</v>
      </c>
      <c r="R369" s="120">
        <v>5</v>
      </c>
      <c r="S369" s="125"/>
      <c r="U369" s="152">
        <v>44506</v>
      </c>
      <c r="V369" s="37"/>
      <c r="W369" s="119"/>
      <c r="Y369" s="117">
        <v>44506</v>
      </c>
      <c r="Z369" s="37"/>
      <c r="AA369" s="37"/>
      <c r="AC369" s="80">
        <v>44502</v>
      </c>
      <c r="AD369" s="120">
        <v>1</v>
      </c>
      <c r="AE369" s="80"/>
      <c r="AG369" s="119">
        <v>44498</v>
      </c>
      <c r="AI369" s="80"/>
      <c r="AK369" s="119">
        <v>44495</v>
      </c>
      <c r="AL369" s="79">
        <v>8</v>
      </c>
      <c r="AM369" s="157"/>
      <c r="AO369" s="152">
        <v>44514</v>
      </c>
      <c r="AP369" s="37"/>
      <c r="AQ369" s="118"/>
      <c r="AS369" s="152">
        <v>44514</v>
      </c>
      <c r="AT369" s="37"/>
      <c r="AU369" s="118"/>
      <c r="AW369" s="152">
        <v>44514</v>
      </c>
      <c r="AX369" s="37"/>
      <c r="AY369" s="118"/>
      <c r="BA369" s="152">
        <v>44514</v>
      </c>
      <c r="BB369" s="37"/>
      <c r="BC369" s="118"/>
      <c r="BE369" s="152">
        <v>44514</v>
      </c>
      <c r="BF369" s="37"/>
      <c r="BG369" s="118"/>
      <c r="BI369" s="152">
        <v>44514</v>
      </c>
      <c r="BJ369" s="37"/>
      <c r="BK369" s="118"/>
      <c r="BM369" s="152">
        <v>44514</v>
      </c>
      <c r="BN369" s="37"/>
      <c r="BO369" s="118"/>
      <c r="BQ369" s="152">
        <v>44514</v>
      </c>
      <c r="BR369" s="37"/>
      <c r="BS369" s="118"/>
      <c r="BU369" s="152">
        <v>44514</v>
      </c>
      <c r="BV369" s="37"/>
      <c r="BW369" s="118"/>
      <c r="BY369" s="152">
        <v>44514</v>
      </c>
      <c r="BZ369" s="37"/>
      <c r="CA369" s="118"/>
    </row>
    <row r="370" spans="1:79">
      <c r="A370" s="129">
        <v>44507</v>
      </c>
      <c r="B370" s="37"/>
      <c r="C370" s="37"/>
      <c r="E370" s="118">
        <v>44502</v>
      </c>
      <c r="F370" s="79">
        <v>3</v>
      </c>
      <c r="G370" s="118"/>
      <c r="I370" s="80">
        <v>44495</v>
      </c>
      <c r="J370" s="120">
        <v>2</v>
      </c>
      <c r="K370" s="80"/>
      <c r="L370" s="37"/>
      <c r="M370" s="37"/>
      <c r="N370" s="80">
        <v>44489</v>
      </c>
      <c r="O370" s="120">
        <v>4</v>
      </c>
      <c r="P370" s="120">
        <v>3</v>
      </c>
      <c r="R370" s="37"/>
      <c r="S370" s="130"/>
      <c r="U370" s="152">
        <v>44507</v>
      </c>
      <c r="V370" s="37"/>
      <c r="Y370" s="117">
        <v>44507</v>
      </c>
      <c r="Z370" s="37"/>
      <c r="AA370" s="37"/>
      <c r="AC370" s="80">
        <v>44503</v>
      </c>
      <c r="AD370" s="120">
        <v>2</v>
      </c>
      <c r="AE370" s="80"/>
      <c r="AG370" s="117">
        <v>44499</v>
      </c>
      <c r="AH370" s="37"/>
      <c r="AI370" s="80"/>
      <c r="AK370" s="119">
        <v>44496</v>
      </c>
      <c r="AL370" s="79">
        <v>9</v>
      </c>
      <c r="AM370" s="157"/>
      <c r="AO370" s="152">
        <v>44515</v>
      </c>
      <c r="AP370" s="37"/>
      <c r="AQ370" s="118"/>
      <c r="AS370" s="152">
        <v>44515</v>
      </c>
      <c r="AT370" s="37"/>
      <c r="AU370" s="118"/>
      <c r="AW370" s="152">
        <v>44515</v>
      </c>
      <c r="AX370" s="37"/>
      <c r="AY370" s="118"/>
      <c r="BA370" s="152">
        <v>44515</v>
      </c>
      <c r="BB370" s="37"/>
      <c r="BC370" s="118"/>
      <c r="BE370" s="152">
        <v>44515</v>
      </c>
      <c r="BF370" s="37"/>
      <c r="BG370" s="118"/>
      <c r="BI370" s="152">
        <v>44515</v>
      </c>
      <c r="BJ370" s="37"/>
      <c r="BK370" s="118"/>
      <c r="BM370" s="152">
        <v>44515</v>
      </c>
      <c r="BN370" s="37"/>
      <c r="BO370" s="118"/>
      <c r="BQ370" s="152">
        <v>44515</v>
      </c>
      <c r="BR370" s="37"/>
      <c r="BS370" s="118"/>
      <c r="BU370" s="152">
        <v>44515</v>
      </c>
      <c r="BV370" s="37"/>
      <c r="BW370" s="118"/>
      <c r="BY370" s="152">
        <v>44515</v>
      </c>
      <c r="BZ370" s="37"/>
      <c r="CA370" s="118"/>
    </row>
    <row r="371" spans="1:79">
      <c r="A371" s="138">
        <v>44508</v>
      </c>
      <c r="B371" s="120">
        <v>1</v>
      </c>
      <c r="C371" s="80">
        <f>EDATE($A371,1)-1</f>
        <v>44537</v>
      </c>
      <c r="E371" s="118">
        <v>44503</v>
      </c>
      <c r="F371" s="79">
        <v>4</v>
      </c>
      <c r="G371" s="118"/>
      <c r="I371" s="80">
        <v>44496</v>
      </c>
      <c r="J371" s="120">
        <v>3</v>
      </c>
      <c r="K371" s="80"/>
      <c r="L371" s="37"/>
      <c r="M371" s="37"/>
      <c r="N371" s="80">
        <v>44490</v>
      </c>
      <c r="O371" s="120">
        <v>5</v>
      </c>
      <c r="P371" s="120">
        <v>4</v>
      </c>
      <c r="R371" s="37"/>
      <c r="S371" s="130"/>
      <c r="U371" s="161">
        <v>44508</v>
      </c>
      <c r="V371" s="120">
        <v>1</v>
      </c>
      <c r="W371" s="80">
        <f>EDATE($U371,1)-$W$49</f>
        <v>44537</v>
      </c>
      <c r="Y371" s="80">
        <v>44508</v>
      </c>
      <c r="Z371" s="120">
        <v>1</v>
      </c>
      <c r="AA371" s="80">
        <f>EDATE(Y371,1)-1</f>
        <v>44537</v>
      </c>
      <c r="AC371" s="119">
        <v>44504</v>
      </c>
      <c r="AE371" s="80"/>
      <c r="AG371" s="117">
        <v>44500</v>
      </c>
      <c r="AH371" s="37"/>
      <c r="AI371" s="80"/>
      <c r="AK371" s="119">
        <v>44497</v>
      </c>
      <c r="AL371" s="79">
        <v>10</v>
      </c>
      <c r="AM371" s="157"/>
      <c r="AO371" s="154">
        <v>44516</v>
      </c>
      <c r="AP371" s="79">
        <v>45</v>
      </c>
      <c r="AQ371" s="118"/>
      <c r="AS371" s="154">
        <v>44516</v>
      </c>
      <c r="AT371" s="79">
        <v>91</v>
      </c>
      <c r="AU371" s="118"/>
      <c r="AW371" s="154">
        <v>44516</v>
      </c>
      <c r="AX371" s="79">
        <v>138</v>
      </c>
      <c r="AY371" s="118"/>
      <c r="BA371" s="154">
        <v>44516</v>
      </c>
      <c r="BB371" s="79">
        <v>181</v>
      </c>
      <c r="BC371" s="118"/>
      <c r="BE371" s="154">
        <v>44516</v>
      </c>
      <c r="BF371" s="79">
        <v>220</v>
      </c>
      <c r="BG371" s="118"/>
      <c r="BI371" s="154">
        <v>44516</v>
      </c>
      <c r="BJ371" s="79">
        <v>45</v>
      </c>
      <c r="BK371" s="118"/>
      <c r="BM371" s="154">
        <v>44516</v>
      </c>
      <c r="BN371" s="79">
        <v>91</v>
      </c>
      <c r="BO371" s="118"/>
      <c r="BQ371" s="154">
        <v>44516</v>
      </c>
      <c r="BR371" s="79">
        <v>138</v>
      </c>
      <c r="BS371" s="118"/>
      <c r="BU371" s="154">
        <v>44516</v>
      </c>
      <c r="BV371" s="79">
        <v>181</v>
      </c>
      <c r="BW371" s="118"/>
      <c r="BY371" s="154">
        <v>44516</v>
      </c>
      <c r="BZ371" s="79">
        <v>220</v>
      </c>
      <c r="CA371" s="118"/>
    </row>
    <row r="372" spans="1:79">
      <c r="A372" s="133">
        <v>44509</v>
      </c>
      <c r="C372" s="80"/>
      <c r="D372" s="119"/>
      <c r="E372" s="119">
        <v>44504</v>
      </c>
      <c r="G372" s="118"/>
      <c r="H372" s="119"/>
      <c r="I372" s="119">
        <v>44497</v>
      </c>
      <c r="K372" s="80"/>
      <c r="N372" s="119">
        <v>44491</v>
      </c>
      <c r="Q372" s="119"/>
      <c r="R372" s="120">
        <v>6</v>
      </c>
      <c r="S372" s="125"/>
      <c r="U372" s="156">
        <v>44509</v>
      </c>
      <c r="W372" s="80"/>
      <c r="Y372" s="80">
        <v>44509</v>
      </c>
      <c r="Z372" s="120">
        <v>2</v>
      </c>
      <c r="AA372" s="80"/>
      <c r="AC372" s="119">
        <v>44505</v>
      </c>
      <c r="AE372" s="80"/>
      <c r="AG372" s="117">
        <v>44501</v>
      </c>
      <c r="AH372" s="37"/>
      <c r="AI372" s="80"/>
      <c r="AK372" s="121" t="s">
        <v>85</v>
      </c>
      <c r="AL372" s="121">
        <f>COUNTA(AL358:AL371)</f>
        <v>10</v>
      </c>
      <c r="AM372" s="158">
        <f>IF(AL372&lt;=$U$45,1,AL372/$U$45)</f>
        <v>1</v>
      </c>
      <c r="AO372" s="156">
        <v>44517</v>
      </c>
      <c r="AQ372" s="118"/>
      <c r="AS372" s="156">
        <v>44517</v>
      </c>
      <c r="AT372">
        <v>92</v>
      </c>
      <c r="AU372" s="118"/>
      <c r="AW372" s="156">
        <v>44517</v>
      </c>
      <c r="AX372">
        <v>139</v>
      </c>
      <c r="AY372" s="118"/>
      <c r="BA372" s="156">
        <v>44517</v>
      </c>
      <c r="BB372" s="79">
        <v>182</v>
      </c>
      <c r="BC372" s="118"/>
      <c r="BE372" s="156">
        <v>44517</v>
      </c>
      <c r="BF372" s="79">
        <v>221</v>
      </c>
      <c r="BG372" s="118"/>
      <c r="BI372" s="156">
        <v>44517</v>
      </c>
      <c r="BK372" s="118"/>
      <c r="BM372" s="156">
        <v>44517</v>
      </c>
      <c r="BN372">
        <v>92</v>
      </c>
      <c r="BO372" s="118"/>
      <c r="BQ372" s="156">
        <v>44517</v>
      </c>
      <c r="BR372">
        <v>139</v>
      </c>
      <c r="BS372" s="118"/>
      <c r="BU372" s="156">
        <v>44517</v>
      </c>
      <c r="BV372" s="79">
        <v>182</v>
      </c>
      <c r="BW372" s="118"/>
      <c r="BY372" s="156">
        <v>44517</v>
      </c>
      <c r="BZ372" s="79">
        <v>221</v>
      </c>
      <c r="CA372" s="118"/>
    </row>
    <row r="373" spans="1:79">
      <c r="A373" s="133">
        <v>44510</v>
      </c>
      <c r="C373" s="80"/>
      <c r="D373" s="119"/>
      <c r="E373" s="119">
        <v>44505</v>
      </c>
      <c r="G373" s="118"/>
      <c r="H373" s="119"/>
      <c r="I373" s="119">
        <v>44498</v>
      </c>
      <c r="K373" s="80"/>
      <c r="L373" s="119"/>
      <c r="M373" s="119"/>
      <c r="N373" s="117">
        <v>44492</v>
      </c>
      <c r="O373" s="37"/>
      <c r="P373" s="37"/>
      <c r="Q373" s="119"/>
      <c r="R373" s="79">
        <v>1</v>
      </c>
      <c r="S373" s="132"/>
      <c r="U373" s="156">
        <v>44510</v>
      </c>
      <c r="W373" s="80"/>
      <c r="X373" s="119"/>
      <c r="Y373" s="119">
        <v>44510</v>
      </c>
      <c r="AA373" s="80"/>
      <c r="AC373" s="117">
        <v>44506</v>
      </c>
      <c r="AD373" s="37"/>
      <c r="AE373" s="80"/>
      <c r="AG373" s="80">
        <v>44502</v>
      </c>
      <c r="AH373" s="120">
        <v>2</v>
      </c>
      <c r="AI373" s="80"/>
      <c r="AK373" s="119">
        <v>44498</v>
      </c>
      <c r="AL373" s="79">
        <v>1</v>
      </c>
      <c r="AM373" s="148"/>
      <c r="AO373" s="156">
        <v>44518</v>
      </c>
      <c r="AQ373" s="118"/>
      <c r="AS373" s="156">
        <v>44518</v>
      </c>
      <c r="AU373" s="118"/>
      <c r="AW373" s="156">
        <v>44518</v>
      </c>
      <c r="AX373">
        <v>140</v>
      </c>
      <c r="AY373" s="118"/>
      <c r="BA373" s="156">
        <v>44518</v>
      </c>
      <c r="BB373" s="79">
        <v>183</v>
      </c>
      <c r="BC373" s="118"/>
      <c r="BE373" s="156">
        <v>44518</v>
      </c>
      <c r="BF373" s="79">
        <v>222</v>
      </c>
      <c r="BG373" s="118"/>
      <c r="BI373" s="156">
        <v>44518</v>
      </c>
      <c r="BK373" s="118"/>
      <c r="BM373" s="156">
        <v>44518</v>
      </c>
      <c r="BO373" s="118"/>
      <c r="BQ373" s="156">
        <v>44518</v>
      </c>
      <c r="BR373">
        <v>140</v>
      </c>
      <c r="BS373" s="118"/>
      <c r="BU373" s="156">
        <v>44518</v>
      </c>
      <c r="BV373" s="79">
        <v>183</v>
      </c>
      <c r="BW373" s="118"/>
      <c r="BY373" s="156">
        <v>44518</v>
      </c>
      <c r="BZ373" s="79">
        <v>222</v>
      </c>
      <c r="CA373" s="118"/>
    </row>
    <row r="374" spans="1:79">
      <c r="A374" s="129">
        <v>44511</v>
      </c>
      <c r="B374" s="37"/>
      <c r="C374" s="120"/>
      <c r="D374" s="119"/>
      <c r="E374" s="117">
        <v>44506</v>
      </c>
      <c r="F374" s="37"/>
      <c r="G374" s="118"/>
      <c r="H374" s="119"/>
      <c r="I374" s="117">
        <v>44499</v>
      </c>
      <c r="J374" s="37"/>
      <c r="K374" s="80"/>
      <c r="L374" s="119"/>
      <c r="M374" s="119"/>
      <c r="N374" s="117">
        <v>44493</v>
      </c>
      <c r="O374" s="37"/>
      <c r="P374" s="37"/>
      <c r="Q374" s="119"/>
      <c r="R374" s="79">
        <v>2</v>
      </c>
      <c r="S374" s="134"/>
      <c r="U374" s="152">
        <v>44511</v>
      </c>
      <c r="V374" s="37"/>
      <c r="W374" s="80"/>
      <c r="X374" s="119"/>
      <c r="Y374" s="117">
        <v>44511</v>
      </c>
      <c r="Z374" s="37"/>
      <c r="AA374" s="80"/>
      <c r="AC374" s="117">
        <v>44507</v>
      </c>
      <c r="AD374" s="37"/>
      <c r="AE374" s="80"/>
      <c r="AG374" s="80">
        <v>44503</v>
      </c>
      <c r="AH374" s="120">
        <v>3</v>
      </c>
      <c r="AI374" s="80"/>
      <c r="AK374" s="117">
        <v>44499</v>
      </c>
      <c r="AL374" s="37"/>
      <c r="AM374" s="148"/>
      <c r="AO374" s="156">
        <v>44519</v>
      </c>
      <c r="AQ374" s="118"/>
      <c r="AR374" s="119"/>
      <c r="AS374" s="156">
        <v>44519</v>
      </c>
      <c r="AU374" s="118"/>
      <c r="AW374" s="156">
        <v>44519</v>
      </c>
      <c r="AY374" s="118"/>
      <c r="BA374" s="156">
        <v>44519</v>
      </c>
      <c r="BB374" s="79">
        <v>184</v>
      </c>
      <c r="BC374" s="118"/>
      <c r="BE374" s="156">
        <v>44519</v>
      </c>
      <c r="BF374" s="79">
        <v>223</v>
      </c>
      <c r="BG374" s="118"/>
      <c r="BI374" s="156">
        <v>44519</v>
      </c>
      <c r="BK374" s="118"/>
      <c r="BL374" s="119"/>
      <c r="BM374" s="156">
        <v>44519</v>
      </c>
      <c r="BO374" s="118"/>
      <c r="BQ374" s="156">
        <v>44519</v>
      </c>
      <c r="BS374" s="118"/>
      <c r="BU374" s="156">
        <v>44519</v>
      </c>
      <c r="BV374" s="79">
        <v>184</v>
      </c>
      <c r="BW374" s="118"/>
      <c r="BY374" s="156">
        <v>44519</v>
      </c>
      <c r="BZ374" s="79">
        <v>223</v>
      </c>
      <c r="CA374" s="118"/>
    </row>
    <row r="375" spans="1:79">
      <c r="A375" s="133">
        <v>44512</v>
      </c>
      <c r="C375" s="120"/>
      <c r="E375" s="117">
        <v>44507</v>
      </c>
      <c r="F375" s="37"/>
      <c r="G375" s="118"/>
      <c r="I375" s="117">
        <v>44500</v>
      </c>
      <c r="J375" s="37"/>
      <c r="K375" s="80"/>
      <c r="L375" s="37"/>
      <c r="M375" s="37"/>
      <c r="N375" s="80">
        <v>44494</v>
      </c>
      <c r="O375" s="120">
        <v>6</v>
      </c>
      <c r="P375" s="120">
        <v>1</v>
      </c>
      <c r="R375" s="37"/>
      <c r="S375" s="130"/>
      <c r="U375" s="156">
        <v>44512</v>
      </c>
      <c r="W375" s="80"/>
      <c r="Y375" s="119">
        <v>44512</v>
      </c>
      <c r="AA375" s="80"/>
      <c r="AC375" s="80">
        <v>44508</v>
      </c>
      <c r="AD375" s="120">
        <v>3</v>
      </c>
      <c r="AE375" s="80"/>
      <c r="AG375" s="80">
        <v>44504</v>
      </c>
      <c r="AH375" s="120">
        <v>4</v>
      </c>
      <c r="AI375" s="80"/>
      <c r="AK375" s="117">
        <v>44500</v>
      </c>
      <c r="AL375" s="37"/>
      <c r="AM375" s="148"/>
      <c r="AO375" s="152">
        <v>44520</v>
      </c>
      <c r="AP375" s="37"/>
      <c r="AQ375" s="118"/>
      <c r="AR375" s="119"/>
      <c r="AS375" s="152">
        <v>44520</v>
      </c>
      <c r="AT375" s="37"/>
      <c r="AU375" s="118"/>
      <c r="AW375" s="152">
        <v>44520</v>
      </c>
      <c r="AX375" s="37"/>
      <c r="AY375" s="118"/>
      <c r="BA375" s="152">
        <v>44520</v>
      </c>
      <c r="BB375" s="37"/>
      <c r="BC375" s="118"/>
      <c r="BE375" s="152">
        <v>44520</v>
      </c>
      <c r="BF375" s="37"/>
      <c r="BG375" s="118"/>
      <c r="BI375" s="152">
        <v>44520</v>
      </c>
      <c r="BJ375" s="37"/>
      <c r="BK375" s="118"/>
      <c r="BL375" s="119"/>
      <c r="BM375" s="152">
        <v>44520</v>
      </c>
      <c r="BN375" s="37"/>
      <c r="BO375" s="118"/>
      <c r="BQ375" s="152">
        <v>44520</v>
      </c>
      <c r="BR375" s="37"/>
      <c r="BS375" s="118"/>
      <c r="BU375" s="152">
        <v>44520</v>
      </c>
      <c r="BV375" s="37"/>
      <c r="BW375" s="118"/>
      <c r="BY375" s="152">
        <v>44520</v>
      </c>
      <c r="BZ375" s="37"/>
      <c r="CA375" s="118"/>
    </row>
    <row r="376" spans="1:79">
      <c r="A376" s="129">
        <v>44513</v>
      </c>
      <c r="B376" s="37"/>
      <c r="C376" s="120"/>
      <c r="E376" s="118">
        <v>44508</v>
      </c>
      <c r="F376" s="79">
        <v>5</v>
      </c>
      <c r="G376" s="118"/>
      <c r="I376" s="117">
        <v>44501</v>
      </c>
      <c r="J376" s="37"/>
      <c r="K376" s="80"/>
      <c r="N376" s="121" t="s">
        <v>85</v>
      </c>
      <c r="O376" s="121">
        <f>COUNTA(O364:O375)</f>
        <v>6</v>
      </c>
      <c r="P376" s="122">
        <f>IF(O376&lt;=$A$45,1,O376/$A$45)</f>
        <v>1</v>
      </c>
      <c r="R376" s="79">
        <v>3</v>
      </c>
      <c r="S376" s="134"/>
      <c r="U376" s="152">
        <v>44513</v>
      </c>
      <c r="V376" s="37"/>
      <c r="W376" s="80"/>
      <c r="Y376" s="117">
        <v>44513</v>
      </c>
      <c r="Z376" s="37"/>
      <c r="AA376" s="80"/>
      <c r="AC376" s="80">
        <v>44509</v>
      </c>
      <c r="AD376" s="120">
        <v>4</v>
      </c>
      <c r="AE376" s="80"/>
      <c r="AG376" s="80">
        <v>44505</v>
      </c>
      <c r="AH376" s="120">
        <v>5</v>
      </c>
      <c r="AI376" s="80"/>
      <c r="AK376" s="117">
        <v>44501</v>
      </c>
      <c r="AL376" s="37"/>
      <c r="AM376" s="148"/>
      <c r="AO376" s="152">
        <v>44521</v>
      </c>
      <c r="AP376" s="37"/>
      <c r="AQ376" s="118"/>
      <c r="AS376" s="152">
        <v>44521</v>
      </c>
      <c r="AT376" s="37"/>
      <c r="AU376" s="118"/>
      <c r="AW376" s="152">
        <v>44521</v>
      </c>
      <c r="AX376" s="37"/>
      <c r="AY376" s="118"/>
      <c r="BA376" s="152">
        <v>44521</v>
      </c>
      <c r="BB376" s="37"/>
      <c r="BC376" s="118"/>
      <c r="BE376" s="152">
        <v>44521</v>
      </c>
      <c r="BF376" s="37"/>
      <c r="BG376" s="118"/>
      <c r="BI376" s="152">
        <v>44521</v>
      </c>
      <c r="BJ376" s="37"/>
      <c r="BK376" s="118"/>
      <c r="BM376" s="152">
        <v>44521</v>
      </c>
      <c r="BN376" s="37"/>
      <c r="BO376" s="118"/>
      <c r="BQ376" s="152">
        <v>44521</v>
      </c>
      <c r="BR376" s="37"/>
      <c r="BS376" s="118"/>
      <c r="BU376" s="152">
        <v>44521</v>
      </c>
      <c r="BV376" s="37"/>
      <c r="BW376" s="118"/>
      <c r="BY376" s="152">
        <v>44521</v>
      </c>
      <c r="BZ376" s="37"/>
      <c r="CA376" s="118"/>
    </row>
    <row r="377" spans="1:79">
      <c r="A377" s="129">
        <v>44514</v>
      </c>
      <c r="B377" s="37"/>
      <c r="C377" s="120"/>
      <c r="E377" s="118">
        <v>44509</v>
      </c>
      <c r="F377" s="79">
        <v>6</v>
      </c>
      <c r="G377" s="118"/>
      <c r="I377" s="80">
        <v>44502</v>
      </c>
      <c r="J377" s="120">
        <v>4</v>
      </c>
      <c r="K377" s="80"/>
      <c r="L377" s="37"/>
      <c r="M377" s="37"/>
      <c r="N377" s="118">
        <v>44495</v>
      </c>
      <c r="O377" s="79">
        <v>1</v>
      </c>
      <c r="P377" s="79">
        <v>2</v>
      </c>
      <c r="R377" s="37"/>
      <c r="S377" s="130"/>
      <c r="U377" s="152">
        <v>44514</v>
      </c>
      <c r="V377" s="37"/>
      <c r="W377" s="80"/>
      <c r="Y377" s="117">
        <v>44514</v>
      </c>
      <c r="Z377" s="37"/>
      <c r="AA377" s="80"/>
      <c r="AC377" s="80">
        <v>44510</v>
      </c>
      <c r="AD377" s="120">
        <v>5</v>
      </c>
      <c r="AE377" s="80"/>
      <c r="AG377" s="117">
        <v>44506</v>
      </c>
      <c r="AH377" s="37"/>
      <c r="AI377" s="80"/>
      <c r="AK377" s="118">
        <v>44502</v>
      </c>
      <c r="AL377" s="79">
        <v>2</v>
      </c>
      <c r="AM377" s="157"/>
      <c r="AO377" s="154">
        <v>44522</v>
      </c>
      <c r="AP377" s="79">
        <v>46</v>
      </c>
      <c r="AQ377" s="118"/>
      <c r="AS377" s="154">
        <v>44522</v>
      </c>
      <c r="AT377" s="79">
        <v>93</v>
      </c>
      <c r="AU377" s="118"/>
      <c r="AW377" s="154">
        <v>44522</v>
      </c>
      <c r="AX377" s="79">
        <v>141</v>
      </c>
      <c r="AY377" s="118"/>
      <c r="BA377" s="154">
        <v>44522</v>
      </c>
      <c r="BB377" s="79">
        <v>185</v>
      </c>
      <c r="BC377" s="118"/>
      <c r="BE377" s="154">
        <v>44522</v>
      </c>
      <c r="BF377" s="79">
        <v>224</v>
      </c>
      <c r="BG377" s="118"/>
      <c r="BI377" s="154">
        <v>44522</v>
      </c>
      <c r="BJ377" s="79">
        <v>46</v>
      </c>
      <c r="BK377" s="118"/>
      <c r="BM377" s="154">
        <v>44522</v>
      </c>
      <c r="BN377" s="79">
        <v>93</v>
      </c>
      <c r="BO377" s="118"/>
      <c r="BQ377" s="154">
        <v>44522</v>
      </c>
      <c r="BR377" s="79">
        <v>141</v>
      </c>
      <c r="BS377" s="118"/>
      <c r="BU377" s="154">
        <v>44522</v>
      </c>
      <c r="BV377" s="79">
        <v>185</v>
      </c>
      <c r="BW377" s="118"/>
      <c r="BY377" s="154">
        <v>44522</v>
      </c>
      <c r="BZ377" s="79">
        <v>224</v>
      </c>
      <c r="CA377" s="118"/>
    </row>
    <row r="378" spans="1:79">
      <c r="A378" s="129">
        <v>44515</v>
      </c>
      <c r="B378" s="37"/>
      <c r="C378" s="120"/>
      <c r="E378" s="121" t="s">
        <v>85</v>
      </c>
      <c r="F378" s="121">
        <f>COUNTA(F362:F377)</f>
        <v>6</v>
      </c>
      <c r="G378" s="122">
        <f>IF(F378&lt;=$A$45,1,F378/$A$45)</f>
        <v>1</v>
      </c>
      <c r="I378" s="80">
        <v>44503</v>
      </c>
      <c r="J378" s="120">
        <v>5</v>
      </c>
      <c r="K378" s="80"/>
      <c r="L378" s="37"/>
      <c r="M378" s="37"/>
      <c r="N378" s="118">
        <v>44496</v>
      </c>
      <c r="O378" s="79">
        <v>2</v>
      </c>
      <c r="P378" s="79">
        <v>3</v>
      </c>
      <c r="R378" s="37"/>
      <c r="S378" s="130"/>
      <c r="U378" s="152">
        <v>44515</v>
      </c>
      <c r="V378" s="37"/>
      <c r="W378" s="80"/>
      <c r="Y378" s="117">
        <v>44515</v>
      </c>
      <c r="Z378" s="37"/>
      <c r="AA378" s="80"/>
      <c r="AC378" s="117">
        <v>44511</v>
      </c>
      <c r="AD378" s="37"/>
      <c r="AE378" s="80"/>
      <c r="AG378" s="117">
        <v>44507</v>
      </c>
      <c r="AH378" s="37"/>
      <c r="AI378" s="80"/>
      <c r="AK378" s="119">
        <v>44503</v>
      </c>
      <c r="AL378" s="79">
        <v>3</v>
      </c>
      <c r="AM378" s="157"/>
      <c r="AO378" s="156">
        <v>44523</v>
      </c>
      <c r="AQ378" s="118"/>
      <c r="AS378" s="156">
        <v>44523</v>
      </c>
      <c r="AT378">
        <v>94</v>
      </c>
      <c r="AU378" s="118"/>
      <c r="AW378" s="156">
        <v>44523</v>
      </c>
      <c r="AX378">
        <v>142</v>
      </c>
      <c r="AY378" s="118"/>
      <c r="BA378" s="156">
        <v>44523</v>
      </c>
      <c r="BB378" s="79">
        <v>186</v>
      </c>
      <c r="BC378" s="118"/>
      <c r="BE378" s="156">
        <v>44523</v>
      </c>
      <c r="BF378" s="79">
        <v>225</v>
      </c>
      <c r="BG378" s="118"/>
      <c r="BI378" s="156">
        <v>44523</v>
      </c>
      <c r="BK378" s="118"/>
      <c r="BM378" s="156">
        <v>44523</v>
      </c>
      <c r="BN378">
        <v>94</v>
      </c>
      <c r="BO378" s="118"/>
      <c r="BQ378" s="156">
        <v>44523</v>
      </c>
      <c r="BR378">
        <v>142</v>
      </c>
      <c r="BS378" s="118"/>
      <c r="BU378" s="156">
        <v>44523</v>
      </c>
      <c r="BV378" s="79">
        <v>186</v>
      </c>
      <c r="BW378" s="118"/>
      <c r="BY378" s="156">
        <v>44523</v>
      </c>
      <c r="BZ378" s="79">
        <v>225</v>
      </c>
      <c r="CA378" s="118"/>
    </row>
    <row r="379" spans="1:79">
      <c r="A379" s="138">
        <v>44516</v>
      </c>
      <c r="B379" s="120">
        <v>2</v>
      </c>
      <c r="C379" s="120"/>
      <c r="E379" s="119">
        <v>44510</v>
      </c>
      <c r="I379" s="80">
        <v>44504</v>
      </c>
      <c r="J379" s="120">
        <v>6</v>
      </c>
      <c r="K379" s="80"/>
      <c r="L379" s="37"/>
      <c r="M379" s="37"/>
      <c r="N379" s="118">
        <v>44497</v>
      </c>
      <c r="O379" s="79">
        <v>3</v>
      </c>
      <c r="P379" s="79">
        <v>4</v>
      </c>
      <c r="R379" s="37"/>
      <c r="S379" s="130"/>
      <c r="U379" s="161">
        <v>44516</v>
      </c>
      <c r="V379" s="120">
        <v>2</v>
      </c>
      <c r="W379" s="80"/>
      <c r="Y379" s="80">
        <v>44516</v>
      </c>
      <c r="Z379" s="120">
        <v>3</v>
      </c>
      <c r="AA379" s="80"/>
      <c r="AC379" s="119">
        <v>44512</v>
      </c>
      <c r="AE379" s="80"/>
      <c r="AG379" s="80">
        <v>44508</v>
      </c>
      <c r="AH379" s="120">
        <v>6</v>
      </c>
      <c r="AI379" s="80"/>
      <c r="AK379" s="119">
        <v>44504</v>
      </c>
      <c r="AL379" s="120">
        <v>4</v>
      </c>
      <c r="AM379" s="163"/>
      <c r="AO379" s="156">
        <v>44524</v>
      </c>
      <c r="AQ379" s="118"/>
      <c r="AS379" s="156">
        <v>44524</v>
      </c>
      <c r="AU379" s="118"/>
      <c r="AW379" s="156">
        <v>44524</v>
      </c>
      <c r="AX379">
        <v>143</v>
      </c>
      <c r="AY379" s="118"/>
      <c r="BA379" s="156">
        <v>44524</v>
      </c>
      <c r="BB379" s="79">
        <v>187</v>
      </c>
      <c r="BC379" s="118"/>
      <c r="BE379" s="156">
        <v>44524</v>
      </c>
      <c r="BF379" s="79">
        <v>226</v>
      </c>
      <c r="BG379" s="118"/>
      <c r="BI379" s="156">
        <v>44524</v>
      </c>
      <c r="BK379" s="118"/>
      <c r="BM379" s="156">
        <v>44524</v>
      </c>
      <c r="BO379" s="118"/>
      <c r="BQ379" s="156">
        <v>44524</v>
      </c>
      <c r="BR379">
        <v>143</v>
      </c>
      <c r="BS379" s="118"/>
      <c r="BU379" s="156">
        <v>44524</v>
      </c>
      <c r="BV379" s="79">
        <v>187</v>
      </c>
      <c r="BW379" s="118"/>
      <c r="BY379" s="156">
        <v>44524</v>
      </c>
      <c r="BZ379" s="79">
        <v>226</v>
      </c>
      <c r="CA379" s="118"/>
    </row>
    <row r="380" spans="1:79">
      <c r="A380" s="133">
        <v>44517</v>
      </c>
      <c r="C380" s="120"/>
      <c r="E380" s="117">
        <v>44511</v>
      </c>
      <c r="F380" s="37"/>
      <c r="G380" s="37"/>
      <c r="I380" s="121" t="s">
        <v>85</v>
      </c>
      <c r="J380" s="121">
        <f>COUNTA(J369:J379)</f>
        <v>6</v>
      </c>
      <c r="K380" s="122">
        <f>IF(J380&lt;=$A$45,1,J380/$A$45)</f>
        <v>1</v>
      </c>
      <c r="N380" s="119">
        <v>44498</v>
      </c>
      <c r="P380" s="119"/>
      <c r="R380" s="79">
        <v>4</v>
      </c>
      <c r="S380" s="134"/>
      <c r="U380" s="156">
        <v>44517</v>
      </c>
      <c r="W380" s="80"/>
      <c r="Y380" s="80">
        <v>44517</v>
      </c>
      <c r="Z380" s="120">
        <v>4</v>
      </c>
      <c r="AA380" s="80"/>
      <c r="AC380" s="117">
        <v>44513</v>
      </c>
      <c r="AD380" s="37"/>
      <c r="AE380" s="80"/>
      <c r="AG380" s="80">
        <v>44509</v>
      </c>
      <c r="AH380" s="120">
        <v>7</v>
      </c>
      <c r="AI380" s="80"/>
      <c r="AK380" s="119">
        <v>44505</v>
      </c>
      <c r="AL380" s="120">
        <v>5</v>
      </c>
      <c r="AM380" s="163"/>
      <c r="AO380" s="156">
        <v>44525</v>
      </c>
      <c r="AQ380" s="118"/>
      <c r="AS380" s="156">
        <v>44525</v>
      </c>
      <c r="AU380" s="118"/>
      <c r="AW380" s="156">
        <v>44525</v>
      </c>
      <c r="AY380" s="118"/>
      <c r="BA380" s="156">
        <v>44525</v>
      </c>
      <c r="BB380" s="79">
        <v>188</v>
      </c>
      <c r="BC380" s="118"/>
      <c r="BE380" s="156">
        <v>44525</v>
      </c>
      <c r="BF380" s="79">
        <v>227</v>
      </c>
      <c r="BG380" s="118"/>
      <c r="BI380" s="156">
        <v>44525</v>
      </c>
      <c r="BK380" s="118"/>
      <c r="BM380" s="156">
        <v>44525</v>
      </c>
      <c r="BO380" s="118"/>
      <c r="BQ380" s="156">
        <v>44525</v>
      </c>
      <c r="BS380" s="118"/>
      <c r="BU380" s="156">
        <v>44525</v>
      </c>
      <c r="BV380" s="79">
        <v>188</v>
      </c>
      <c r="BW380" s="118"/>
      <c r="BY380" s="156">
        <v>44525</v>
      </c>
      <c r="BZ380" s="79">
        <v>227</v>
      </c>
      <c r="CA380" s="118"/>
    </row>
    <row r="381" spans="1:79">
      <c r="A381" s="133">
        <v>44518</v>
      </c>
      <c r="C381" s="120"/>
      <c r="E381" s="119">
        <v>44512</v>
      </c>
      <c r="I381" s="119">
        <v>44505</v>
      </c>
      <c r="N381" s="117">
        <v>44499</v>
      </c>
      <c r="O381" s="37"/>
      <c r="P381" s="37"/>
      <c r="R381" s="79">
        <v>5</v>
      </c>
      <c r="S381" s="134"/>
      <c r="U381" s="156">
        <v>44518</v>
      </c>
      <c r="W381" s="80"/>
      <c r="Y381" s="119">
        <v>44518</v>
      </c>
      <c r="AA381" s="80"/>
      <c r="AC381" s="117">
        <v>44514</v>
      </c>
      <c r="AD381" s="37"/>
      <c r="AE381" s="80"/>
      <c r="AG381" s="80">
        <v>44510</v>
      </c>
      <c r="AH381" s="120">
        <v>8</v>
      </c>
      <c r="AI381" s="80"/>
      <c r="AK381" s="117">
        <v>44506</v>
      </c>
      <c r="AL381" s="37"/>
      <c r="AM381" s="148"/>
      <c r="AO381" s="156">
        <v>44526</v>
      </c>
      <c r="AQ381" s="118"/>
      <c r="AS381" s="156">
        <v>44526</v>
      </c>
      <c r="AU381" s="118"/>
      <c r="AW381" s="156">
        <v>44526</v>
      </c>
      <c r="AY381" s="118"/>
      <c r="BA381" s="156">
        <v>44526</v>
      </c>
      <c r="BC381" s="118"/>
      <c r="BE381" s="156">
        <v>44526</v>
      </c>
      <c r="BF381" s="79">
        <v>228</v>
      </c>
      <c r="BG381" s="118"/>
      <c r="BI381" s="156">
        <v>44526</v>
      </c>
      <c r="BK381" s="118"/>
      <c r="BM381" s="156">
        <v>44526</v>
      </c>
      <c r="BO381" s="118"/>
      <c r="BQ381" s="156">
        <v>44526</v>
      </c>
      <c r="BS381" s="118"/>
      <c r="BU381" s="156">
        <v>44526</v>
      </c>
      <c r="BW381" s="118"/>
      <c r="BY381" s="156">
        <v>44526</v>
      </c>
      <c r="BZ381" s="79">
        <v>228</v>
      </c>
      <c r="CA381" s="118"/>
    </row>
    <row r="382" spans="1:79">
      <c r="A382" s="133">
        <v>44519</v>
      </c>
      <c r="C382" s="80"/>
      <c r="E382" s="117">
        <v>44513</v>
      </c>
      <c r="F382" s="37"/>
      <c r="G382" s="37"/>
      <c r="I382" s="117">
        <v>44506</v>
      </c>
      <c r="J382" s="37"/>
      <c r="K382" s="37"/>
      <c r="N382" s="117">
        <v>44500</v>
      </c>
      <c r="O382" s="37"/>
      <c r="P382" s="37"/>
      <c r="R382" s="79">
        <v>6</v>
      </c>
      <c r="S382" s="134"/>
      <c r="U382" s="156">
        <v>44519</v>
      </c>
      <c r="W382" s="80"/>
      <c r="Y382" s="119">
        <v>44519</v>
      </c>
      <c r="AA382" s="80"/>
      <c r="AC382" s="117">
        <v>44515</v>
      </c>
      <c r="AD382" s="37"/>
      <c r="AE382" s="80"/>
      <c r="AG382" s="117">
        <v>44511</v>
      </c>
      <c r="AH382" s="37"/>
      <c r="AI382" s="80"/>
      <c r="AK382" s="117">
        <v>44507</v>
      </c>
      <c r="AL382" s="37"/>
      <c r="AM382" s="148"/>
      <c r="AO382" s="152">
        <v>44527</v>
      </c>
      <c r="AP382" s="37"/>
      <c r="AQ382" s="118"/>
      <c r="AS382" s="152">
        <v>44527</v>
      </c>
      <c r="AT382" s="37"/>
      <c r="AU382" s="118"/>
      <c r="AW382" s="152">
        <v>44527</v>
      </c>
      <c r="AX382" s="37"/>
      <c r="AY382" s="118"/>
      <c r="BA382" s="152">
        <v>44527</v>
      </c>
      <c r="BB382" s="37"/>
      <c r="BC382" s="118"/>
      <c r="BE382" s="152">
        <v>44527</v>
      </c>
      <c r="BF382" s="37"/>
      <c r="BG382" s="118"/>
      <c r="BI382" s="152">
        <v>44527</v>
      </c>
      <c r="BJ382" s="37"/>
      <c r="BK382" s="118"/>
      <c r="BM382" s="152">
        <v>44527</v>
      </c>
      <c r="BN382" s="37"/>
      <c r="BO382" s="118"/>
      <c r="BQ382" s="152">
        <v>44527</v>
      </c>
      <c r="BR382" s="37"/>
      <c r="BS382" s="118"/>
      <c r="BU382" s="152">
        <v>44527</v>
      </c>
      <c r="BV382" s="37"/>
      <c r="BW382" s="118"/>
      <c r="BY382" s="152">
        <v>44527</v>
      </c>
      <c r="BZ382" s="37"/>
      <c r="CA382" s="118"/>
    </row>
    <row r="383" spans="1:79">
      <c r="A383" s="129">
        <v>44520</v>
      </c>
      <c r="B383" s="37"/>
      <c r="C383" s="120"/>
      <c r="D383" s="119"/>
      <c r="E383" s="117">
        <v>44514</v>
      </c>
      <c r="F383" s="37"/>
      <c r="G383" s="37"/>
      <c r="H383" s="119"/>
      <c r="I383" s="117">
        <v>44507</v>
      </c>
      <c r="J383" s="37"/>
      <c r="K383" s="37"/>
      <c r="L383" s="119"/>
      <c r="M383" s="119"/>
      <c r="N383" s="117">
        <v>44501</v>
      </c>
      <c r="O383" s="37"/>
      <c r="P383" s="37"/>
      <c r="Q383" s="119"/>
      <c r="R383" s="120">
        <v>1</v>
      </c>
      <c r="S383" s="135"/>
      <c r="U383" s="152">
        <v>44520</v>
      </c>
      <c r="V383" s="37"/>
      <c r="W383" s="80"/>
      <c r="X383" s="119"/>
      <c r="Y383" s="117">
        <v>44520</v>
      </c>
      <c r="Z383" s="37"/>
      <c r="AA383" s="80"/>
      <c r="AC383" s="80">
        <v>44516</v>
      </c>
      <c r="AD383" s="120">
        <v>6</v>
      </c>
      <c r="AE383" s="80"/>
      <c r="AG383" s="80">
        <v>44512</v>
      </c>
      <c r="AH383" s="120">
        <v>9</v>
      </c>
      <c r="AI383" s="80"/>
      <c r="AK383" s="118">
        <v>44508</v>
      </c>
      <c r="AL383" s="120">
        <v>6</v>
      </c>
      <c r="AM383" s="159"/>
      <c r="AO383" s="152">
        <v>44528</v>
      </c>
      <c r="AP383" s="37"/>
      <c r="AQ383" s="118"/>
      <c r="AS383" s="152">
        <v>44528</v>
      </c>
      <c r="AT383" s="37"/>
      <c r="AU383" s="118"/>
      <c r="AW383" s="152">
        <v>44528</v>
      </c>
      <c r="AX383" s="37"/>
      <c r="AY383" s="118"/>
      <c r="BA383" s="152">
        <v>44528</v>
      </c>
      <c r="BB383" s="37"/>
      <c r="BC383" s="118"/>
      <c r="BE383" s="152">
        <v>44528</v>
      </c>
      <c r="BF383" s="37"/>
      <c r="BG383" s="118"/>
      <c r="BI383" s="152">
        <v>44528</v>
      </c>
      <c r="BJ383" s="37"/>
      <c r="BK383" s="118"/>
      <c r="BM383" s="152">
        <v>44528</v>
      </c>
      <c r="BN383" s="37"/>
      <c r="BO383" s="118"/>
      <c r="BQ383" s="152">
        <v>44528</v>
      </c>
      <c r="BR383" s="37"/>
      <c r="BS383" s="118"/>
      <c r="BU383" s="152">
        <v>44528</v>
      </c>
      <c r="BV383" s="37"/>
      <c r="BW383" s="118"/>
      <c r="BY383" s="152">
        <v>44528</v>
      </c>
      <c r="BZ383" s="37"/>
      <c r="CA383" s="118"/>
    </row>
    <row r="384" spans="1:79">
      <c r="A384" s="129">
        <v>44521</v>
      </c>
      <c r="B384" s="37"/>
      <c r="C384" s="120"/>
      <c r="E384" s="117">
        <v>44515</v>
      </c>
      <c r="F384" s="37"/>
      <c r="G384" s="37"/>
      <c r="I384" s="118">
        <v>44508</v>
      </c>
      <c r="J384" s="79">
        <v>1</v>
      </c>
      <c r="K384" s="118"/>
      <c r="L384" s="37"/>
      <c r="M384" s="37"/>
      <c r="N384" s="118">
        <v>44502</v>
      </c>
      <c r="O384" s="79">
        <v>4</v>
      </c>
      <c r="P384" s="79">
        <v>1</v>
      </c>
      <c r="R384" s="37"/>
      <c r="S384" s="130"/>
      <c r="U384" s="152">
        <v>44521</v>
      </c>
      <c r="V384" s="37"/>
      <c r="W384" s="80"/>
      <c r="Y384" s="117">
        <v>44521</v>
      </c>
      <c r="Z384" s="37"/>
      <c r="AA384" s="80"/>
      <c r="AC384" s="80">
        <v>44517</v>
      </c>
      <c r="AD384" s="120">
        <v>7</v>
      </c>
      <c r="AE384" s="80"/>
      <c r="AG384" s="117">
        <v>44513</v>
      </c>
      <c r="AH384" s="37"/>
      <c r="AI384" s="80"/>
      <c r="AK384" s="119">
        <v>44509</v>
      </c>
      <c r="AL384" s="120">
        <v>7</v>
      </c>
      <c r="AM384" s="159"/>
      <c r="AO384" s="154">
        <v>44529</v>
      </c>
      <c r="AP384" s="79">
        <v>47</v>
      </c>
      <c r="AQ384" s="118"/>
      <c r="AR384" s="119"/>
      <c r="AS384" s="154">
        <v>44529</v>
      </c>
      <c r="AT384" s="79">
        <v>95</v>
      </c>
      <c r="AU384" s="118"/>
      <c r="AW384" s="154">
        <v>44529</v>
      </c>
      <c r="AX384" s="79">
        <v>144</v>
      </c>
      <c r="AY384" s="118"/>
      <c r="BA384" s="154">
        <v>44529</v>
      </c>
      <c r="BB384" s="79">
        <v>189</v>
      </c>
      <c r="BC384" s="118"/>
      <c r="BE384" s="154">
        <v>44529</v>
      </c>
      <c r="BF384" s="79">
        <v>229</v>
      </c>
      <c r="BG384" s="118"/>
      <c r="BI384" s="154">
        <v>44529</v>
      </c>
      <c r="BJ384" s="79">
        <v>47</v>
      </c>
      <c r="BK384" s="118"/>
      <c r="BL384" s="119"/>
      <c r="BM384" s="154">
        <v>44529</v>
      </c>
      <c r="BN384" s="79">
        <v>95</v>
      </c>
      <c r="BO384" s="118"/>
      <c r="BQ384" s="154">
        <v>44529</v>
      </c>
      <c r="BR384" s="79">
        <v>144</v>
      </c>
      <c r="BS384" s="118"/>
      <c r="BU384" s="154">
        <v>44529</v>
      </c>
      <c r="BV384" s="79">
        <v>189</v>
      </c>
      <c r="BW384" s="118"/>
      <c r="BY384" s="154">
        <v>44529</v>
      </c>
      <c r="BZ384" s="79">
        <v>229</v>
      </c>
      <c r="CA384" s="118"/>
    </row>
    <row r="385" spans="1:79">
      <c r="A385" s="138">
        <v>44522</v>
      </c>
      <c r="B385" s="120">
        <v>3</v>
      </c>
      <c r="C385" s="120"/>
      <c r="E385" s="80">
        <v>44516</v>
      </c>
      <c r="F385" s="120">
        <v>1</v>
      </c>
      <c r="G385" s="80"/>
      <c r="I385" s="118">
        <v>44509</v>
      </c>
      <c r="J385" s="79">
        <v>2</v>
      </c>
      <c r="K385" s="118"/>
      <c r="L385" s="37"/>
      <c r="M385" s="37"/>
      <c r="N385" s="118">
        <v>44503</v>
      </c>
      <c r="O385" s="79">
        <v>5</v>
      </c>
      <c r="P385" s="79">
        <v>2</v>
      </c>
      <c r="R385" s="37"/>
      <c r="S385" s="130"/>
      <c r="U385" s="161">
        <v>44522</v>
      </c>
      <c r="V385" s="120">
        <v>3</v>
      </c>
      <c r="W385" s="80"/>
      <c r="Y385" s="80">
        <v>44522</v>
      </c>
      <c r="Z385" s="120">
        <v>5</v>
      </c>
      <c r="AA385" s="80"/>
      <c r="AC385" s="80">
        <v>44518</v>
      </c>
      <c r="AD385" s="120">
        <v>8</v>
      </c>
      <c r="AE385" s="80"/>
      <c r="AG385" s="117">
        <v>44514</v>
      </c>
      <c r="AH385" s="37"/>
      <c r="AI385" s="80"/>
      <c r="AK385" s="119">
        <v>44510</v>
      </c>
      <c r="AL385" s="120">
        <v>8</v>
      </c>
      <c r="AM385" s="159"/>
      <c r="AO385" s="156">
        <v>44530</v>
      </c>
      <c r="AQ385" s="118"/>
      <c r="AS385" s="156">
        <v>44530</v>
      </c>
      <c r="AT385">
        <v>96</v>
      </c>
      <c r="AU385" s="118"/>
      <c r="AW385" s="156">
        <v>44530</v>
      </c>
      <c r="AX385">
        <v>145</v>
      </c>
      <c r="AY385" s="118"/>
      <c r="BA385" s="156">
        <v>44530</v>
      </c>
      <c r="BB385" s="79">
        <v>190</v>
      </c>
      <c r="BC385" s="118"/>
      <c r="BE385" s="156">
        <v>44530</v>
      </c>
      <c r="BF385" s="79">
        <v>230</v>
      </c>
      <c r="BG385" s="118"/>
      <c r="BI385" s="156">
        <v>44530</v>
      </c>
      <c r="BK385" s="118"/>
      <c r="BM385" s="156">
        <v>44530</v>
      </c>
      <c r="BN385">
        <v>96</v>
      </c>
      <c r="BO385" s="118"/>
      <c r="BQ385" s="156">
        <v>44530</v>
      </c>
      <c r="BR385">
        <v>145</v>
      </c>
      <c r="BS385" s="118"/>
      <c r="BU385" s="156">
        <v>44530</v>
      </c>
      <c r="BV385" s="79">
        <v>190</v>
      </c>
      <c r="BW385" s="118"/>
      <c r="BY385" s="156">
        <v>44530</v>
      </c>
      <c r="BZ385" s="79">
        <v>230</v>
      </c>
      <c r="CA385" s="118"/>
    </row>
    <row r="386" spans="1:79">
      <c r="A386" s="133">
        <v>44523</v>
      </c>
      <c r="C386" s="120"/>
      <c r="E386" s="80">
        <v>44517</v>
      </c>
      <c r="F386" s="120">
        <v>2</v>
      </c>
      <c r="G386" s="120"/>
      <c r="I386" s="118">
        <v>44510</v>
      </c>
      <c r="J386" s="79">
        <v>3</v>
      </c>
      <c r="K386" s="118"/>
      <c r="N386" s="118">
        <v>44504</v>
      </c>
      <c r="O386" s="79">
        <v>6</v>
      </c>
      <c r="P386" s="79">
        <v>3</v>
      </c>
      <c r="R386" s="120">
        <v>2</v>
      </c>
      <c r="S386" s="125"/>
      <c r="U386" s="156">
        <v>44523</v>
      </c>
      <c r="W386" s="80"/>
      <c r="Y386" s="80">
        <v>44523</v>
      </c>
      <c r="Z386" s="120">
        <v>6</v>
      </c>
      <c r="AA386" s="80"/>
      <c r="AC386" s="119">
        <v>44519</v>
      </c>
      <c r="AE386" s="80"/>
      <c r="AG386" s="117">
        <v>44515</v>
      </c>
      <c r="AH386" s="37"/>
      <c r="AI386" s="80"/>
      <c r="AK386" s="117">
        <v>44511</v>
      </c>
      <c r="AL386" s="37"/>
      <c r="AM386" s="148"/>
      <c r="AO386" s="156">
        <v>44531</v>
      </c>
      <c r="AQ386" s="118"/>
      <c r="AS386" s="156">
        <v>44531</v>
      </c>
      <c r="AU386" s="118"/>
      <c r="AW386" s="156">
        <v>44531</v>
      </c>
      <c r="AX386">
        <v>146</v>
      </c>
      <c r="AY386" s="118"/>
      <c r="BA386" s="156">
        <v>44531</v>
      </c>
      <c r="BB386" s="79">
        <v>191</v>
      </c>
      <c r="BC386" s="118"/>
      <c r="BE386" s="156">
        <v>44531</v>
      </c>
      <c r="BF386" s="79">
        <v>231</v>
      </c>
      <c r="BG386" s="118"/>
      <c r="BI386" s="156">
        <v>44531</v>
      </c>
      <c r="BK386" s="118"/>
      <c r="BM386" s="156">
        <v>44531</v>
      </c>
      <c r="BO386" s="118"/>
      <c r="BQ386" s="156">
        <v>44531</v>
      </c>
      <c r="BR386">
        <v>146</v>
      </c>
      <c r="BS386" s="118"/>
      <c r="BU386" s="156">
        <v>44531</v>
      </c>
      <c r="BV386" s="79">
        <v>191</v>
      </c>
      <c r="BW386" s="118"/>
      <c r="BY386" s="156">
        <v>44531</v>
      </c>
      <c r="BZ386" s="79">
        <v>231</v>
      </c>
      <c r="CA386" s="118"/>
    </row>
    <row r="387" spans="1:79">
      <c r="A387" s="133">
        <v>44524</v>
      </c>
      <c r="C387" s="80"/>
      <c r="E387" s="119">
        <v>44518</v>
      </c>
      <c r="G387" s="120"/>
      <c r="I387" s="117">
        <v>44511</v>
      </c>
      <c r="J387" s="37"/>
      <c r="K387" s="118"/>
      <c r="N387" s="121" t="s">
        <v>85</v>
      </c>
      <c r="O387" s="121">
        <f>COUNTA(O377:O386)</f>
        <v>6</v>
      </c>
      <c r="P387" s="122">
        <f>IF(O387&lt;=$A$45,1,O387/$A$45)</f>
        <v>1</v>
      </c>
      <c r="R387" s="120">
        <v>3</v>
      </c>
      <c r="S387" s="125"/>
      <c r="U387" s="156">
        <v>44524</v>
      </c>
      <c r="W387" s="80"/>
      <c r="Y387" s="119">
        <v>44524</v>
      </c>
      <c r="AA387" s="80"/>
      <c r="AC387" s="117">
        <v>44520</v>
      </c>
      <c r="AD387" s="37"/>
      <c r="AE387" s="80"/>
      <c r="AG387" s="80">
        <v>44516</v>
      </c>
      <c r="AH387" s="120">
        <v>10</v>
      </c>
      <c r="AI387" s="80"/>
      <c r="AK387" s="119">
        <v>44512</v>
      </c>
      <c r="AL387" s="120">
        <v>9</v>
      </c>
      <c r="AM387" s="159"/>
      <c r="AO387" s="156">
        <v>44532</v>
      </c>
      <c r="AQ387" s="118"/>
      <c r="AS387" s="156">
        <v>44532</v>
      </c>
      <c r="AU387" s="118"/>
      <c r="AW387" s="156">
        <v>44532</v>
      </c>
      <c r="AY387" s="118"/>
      <c r="BA387" s="156">
        <v>44532</v>
      </c>
      <c r="BB387" s="79">
        <v>192</v>
      </c>
      <c r="BC387" s="118"/>
      <c r="BE387" s="156">
        <v>44532</v>
      </c>
      <c r="BF387" s="79">
        <v>232</v>
      </c>
      <c r="BG387" s="118"/>
      <c r="BI387" s="156">
        <v>44532</v>
      </c>
      <c r="BK387" s="118"/>
      <c r="BM387" s="156">
        <v>44532</v>
      </c>
      <c r="BO387" s="118"/>
      <c r="BQ387" s="156">
        <v>44532</v>
      </c>
      <c r="BS387" s="118"/>
      <c r="BU387" s="156">
        <v>44532</v>
      </c>
      <c r="BV387" s="79">
        <v>192</v>
      </c>
      <c r="BW387" s="118"/>
      <c r="BY387" s="156">
        <v>44532</v>
      </c>
      <c r="BZ387" s="79">
        <v>232</v>
      </c>
      <c r="CA387" s="118"/>
    </row>
    <row r="388" spans="1:79">
      <c r="A388" s="133">
        <v>44525</v>
      </c>
      <c r="C388" s="120"/>
      <c r="D388" s="119"/>
      <c r="E388" s="119">
        <v>44519</v>
      </c>
      <c r="G388" s="120"/>
      <c r="H388" s="119"/>
      <c r="I388" s="119">
        <v>44512</v>
      </c>
      <c r="K388" s="118"/>
      <c r="N388" s="80">
        <v>44505</v>
      </c>
      <c r="O388" s="120">
        <v>1</v>
      </c>
      <c r="P388" s="120">
        <v>4</v>
      </c>
      <c r="Q388" s="119"/>
      <c r="R388" s="120">
        <v>4</v>
      </c>
      <c r="S388" s="125"/>
      <c r="U388" s="156">
        <v>44525</v>
      </c>
      <c r="W388" s="80"/>
      <c r="X388" s="119"/>
      <c r="Y388" s="119">
        <v>44525</v>
      </c>
      <c r="AA388" s="80"/>
      <c r="AC388" s="117">
        <v>44521</v>
      </c>
      <c r="AD388" s="37"/>
      <c r="AE388" s="80"/>
      <c r="AG388" s="121" t="s">
        <v>85</v>
      </c>
      <c r="AH388" s="121">
        <f>COUNTA(AH368:AH387)</f>
        <v>10</v>
      </c>
      <c r="AI388" s="122">
        <f>IF(AH388&lt;=$U$45,1,AH388/$U$45)</f>
        <v>1</v>
      </c>
      <c r="AK388" s="117">
        <v>44513</v>
      </c>
      <c r="AL388" s="37"/>
      <c r="AM388" s="148"/>
      <c r="AO388" s="156">
        <v>44533</v>
      </c>
      <c r="AQ388" s="118"/>
      <c r="AS388" s="156">
        <v>44533</v>
      </c>
      <c r="AU388" s="118"/>
      <c r="AW388" s="156">
        <v>44533</v>
      </c>
      <c r="AY388" s="118"/>
      <c r="BA388" s="156">
        <v>44533</v>
      </c>
      <c r="BC388" s="118"/>
      <c r="BE388" s="156">
        <v>44533</v>
      </c>
      <c r="BF388" s="79">
        <v>233</v>
      </c>
      <c r="BG388" s="118"/>
      <c r="BI388" s="156">
        <v>44533</v>
      </c>
      <c r="BK388" s="118"/>
      <c r="BM388" s="156">
        <v>44533</v>
      </c>
      <c r="BO388" s="118"/>
      <c r="BQ388" s="156">
        <v>44533</v>
      </c>
      <c r="BS388" s="118"/>
      <c r="BU388" s="156">
        <v>44533</v>
      </c>
      <c r="BW388" s="118"/>
      <c r="BY388" s="156">
        <v>44533</v>
      </c>
      <c r="BZ388" s="79">
        <v>233</v>
      </c>
      <c r="CA388" s="118"/>
    </row>
    <row r="389" spans="1:79">
      <c r="A389" s="133">
        <v>44526</v>
      </c>
      <c r="C389" s="120"/>
      <c r="E389" s="117">
        <v>44520</v>
      </c>
      <c r="F389" s="37"/>
      <c r="G389" s="120"/>
      <c r="I389" s="117">
        <v>44513</v>
      </c>
      <c r="J389" s="37"/>
      <c r="K389" s="118"/>
      <c r="N389" s="117">
        <v>44506</v>
      </c>
      <c r="O389" s="37"/>
      <c r="P389" s="37"/>
      <c r="R389" s="120">
        <v>5</v>
      </c>
      <c r="S389" s="125"/>
      <c r="U389" s="156">
        <v>44526</v>
      </c>
      <c r="W389" s="80"/>
      <c r="Y389" s="119">
        <v>44526</v>
      </c>
      <c r="AA389" s="80"/>
      <c r="AC389" s="80">
        <v>44522</v>
      </c>
      <c r="AD389" s="120">
        <v>9</v>
      </c>
      <c r="AE389" s="80"/>
      <c r="AG389" s="118">
        <v>44517</v>
      </c>
      <c r="AH389" s="79">
        <v>1</v>
      </c>
      <c r="AI389" s="79"/>
      <c r="AK389" s="117">
        <v>44514</v>
      </c>
      <c r="AL389" s="37"/>
      <c r="AM389" s="148"/>
      <c r="AO389" s="152">
        <v>44534</v>
      </c>
      <c r="AP389" s="37"/>
      <c r="AQ389" s="118"/>
      <c r="AR389" s="119"/>
      <c r="AS389" s="152">
        <v>44534</v>
      </c>
      <c r="AT389" s="37"/>
      <c r="AU389" s="118"/>
      <c r="AW389" s="152">
        <v>44534</v>
      </c>
      <c r="AX389" s="37"/>
      <c r="AY389" s="118"/>
      <c r="BA389" s="152">
        <v>44534</v>
      </c>
      <c r="BB389" s="37"/>
      <c r="BC389" s="118"/>
      <c r="BE389" s="152">
        <v>44534</v>
      </c>
      <c r="BF389" s="37"/>
      <c r="BG389" s="118"/>
      <c r="BI389" s="152">
        <v>44534</v>
      </c>
      <c r="BJ389" s="37"/>
      <c r="BK389" s="118"/>
      <c r="BL389" s="119"/>
      <c r="BM389" s="152">
        <v>44534</v>
      </c>
      <c r="BN389" s="37"/>
      <c r="BO389" s="118"/>
      <c r="BQ389" s="152">
        <v>44534</v>
      </c>
      <c r="BR389" s="37"/>
      <c r="BS389" s="118"/>
      <c r="BU389" s="152">
        <v>44534</v>
      </c>
      <c r="BV389" s="37"/>
      <c r="BW389" s="118"/>
      <c r="BY389" s="152">
        <v>44534</v>
      </c>
      <c r="BZ389" s="37"/>
      <c r="CA389" s="118"/>
    </row>
    <row r="390" spans="1:79">
      <c r="A390" s="129">
        <v>44527</v>
      </c>
      <c r="B390" s="37"/>
      <c r="C390" s="120"/>
      <c r="E390" s="117">
        <v>44521</v>
      </c>
      <c r="F390" s="37"/>
      <c r="G390" s="120"/>
      <c r="I390" s="117">
        <v>44514</v>
      </c>
      <c r="J390" s="37"/>
      <c r="K390" s="118"/>
      <c r="N390" s="117">
        <v>44507</v>
      </c>
      <c r="O390" s="37"/>
      <c r="P390" s="37"/>
      <c r="R390" s="120">
        <v>6</v>
      </c>
      <c r="S390" s="125"/>
      <c r="U390" s="152">
        <v>44527</v>
      </c>
      <c r="V390" s="37"/>
      <c r="W390" s="80"/>
      <c r="Y390" s="117">
        <v>44527</v>
      </c>
      <c r="Z390" s="37"/>
      <c r="AA390" s="80"/>
      <c r="AC390" s="80">
        <v>44523</v>
      </c>
      <c r="AD390" s="120">
        <v>10</v>
      </c>
      <c r="AE390" s="80"/>
      <c r="AG390" s="118">
        <v>44518</v>
      </c>
      <c r="AH390" s="79">
        <v>2</v>
      </c>
      <c r="AI390" s="79"/>
      <c r="AK390" s="117">
        <v>44515</v>
      </c>
      <c r="AL390" s="37"/>
      <c r="AM390" s="148"/>
      <c r="AO390" s="152">
        <v>44535</v>
      </c>
      <c r="AP390" s="37"/>
      <c r="AQ390" s="118"/>
      <c r="AS390" s="152">
        <v>44535</v>
      </c>
      <c r="AT390" s="37"/>
      <c r="AU390" s="118"/>
      <c r="AW390" s="152">
        <v>44535</v>
      </c>
      <c r="AX390" s="37"/>
      <c r="AY390" s="118"/>
      <c r="BA390" s="152">
        <v>44535</v>
      </c>
      <c r="BB390" s="37"/>
      <c r="BC390" s="118"/>
      <c r="BE390" s="152">
        <v>44535</v>
      </c>
      <c r="BF390" s="37"/>
      <c r="BG390" s="118"/>
      <c r="BI390" s="152">
        <v>44535</v>
      </c>
      <c r="BJ390" s="37"/>
      <c r="BK390" s="118"/>
      <c r="BM390" s="152">
        <v>44535</v>
      </c>
      <c r="BN390" s="37"/>
      <c r="BO390" s="118"/>
      <c r="BQ390" s="152">
        <v>44535</v>
      </c>
      <c r="BR390" s="37"/>
      <c r="BS390" s="118"/>
      <c r="BU390" s="152">
        <v>44535</v>
      </c>
      <c r="BV390" s="37"/>
      <c r="BW390" s="118"/>
      <c r="BY390" s="152">
        <v>44535</v>
      </c>
      <c r="BZ390" s="37"/>
      <c r="CA390" s="118"/>
    </row>
    <row r="391" spans="1:79">
      <c r="A391" s="129">
        <v>44528</v>
      </c>
      <c r="B391" s="37"/>
      <c r="C391" s="120"/>
      <c r="E391" s="80">
        <v>44522</v>
      </c>
      <c r="F391" s="120">
        <v>3</v>
      </c>
      <c r="G391" s="120"/>
      <c r="I391" s="117">
        <v>44515</v>
      </c>
      <c r="J391" s="37"/>
      <c r="K391" s="118"/>
      <c r="L391" s="37"/>
      <c r="M391" s="37"/>
      <c r="N391" s="80">
        <v>44508</v>
      </c>
      <c r="O391" s="120">
        <v>2</v>
      </c>
      <c r="P391" s="120">
        <v>1</v>
      </c>
      <c r="R391" s="37"/>
      <c r="S391" s="130"/>
      <c r="U391" s="152">
        <v>44528</v>
      </c>
      <c r="V391" s="37"/>
      <c r="W391" s="80"/>
      <c r="Y391" s="117">
        <v>44528</v>
      </c>
      <c r="Z391" s="37"/>
      <c r="AA391" s="80"/>
      <c r="AC391" s="121" t="s">
        <v>85</v>
      </c>
      <c r="AD391" s="121">
        <f>COUNTA(AD369:AD390)</f>
        <v>10</v>
      </c>
      <c r="AE391" s="122">
        <f>IF(AD391&lt;=$U$45,1,AD391/$U$45)</f>
        <v>1</v>
      </c>
      <c r="AG391" s="119">
        <v>44519</v>
      </c>
      <c r="AI391" s="118"/>
      <c r="AK391" s="118">
        <v>44516</v>
      </c>
      <c r="AL391" s="120">
        <v>10</v>
      </c>
      <c r="AM391" s="159"/>
      <c r="AO391" s="154">
        <v>44536</v>
      </c>
      <c r="AP391" s="79">
        <v>48</v>
      </c>
      <c r="AQ391" s="118"/>
      <c r="AS391" s="154">
        <v>44536</v>
      </c>
      <c r="AT391" s="79">
        <v>97</v>
      </c>
      <c r="AU391" s="118"/>
      <c r="AW391" s="154">
        <v>44536</v>
      </c>
      <c r="AX391" s="79">
        <v>147</v>
      </c>
      <c r="AY391" s="118"/>
      <c r="BA391" s="154">
        <v>44536</v>
      </c>
      <c r="BB391" s="79">
        <v>193</v>
      </c>
      <c r="BC391" s="118"/>
      <c r="BE391" s="154">
        <v>44536</v>
      </c>
      <c r="BF391" s="79">
        <v>234</v>
      </c>
      <c r="BG391" s="118"/>
      <c r="BI391" s="154">
        <v>44536</v>
      </c>
      <c r="BJ391" s="79">
        <v>48</v>
      </c>
      <c r="BK391" s="118"/>
      <c r="BM391" s="154">
        <v>44536</v>
      </c>
      <c r="BN391" s="79">
        <v>97</v>
      </c>
      <c r="BO391" s="118"/>
      <c r="BQ391" s="154">
        <v>44536</v>
      </c>
      <c r="BR391" s="79">
        <v>147</v>
      </c>
      <c r="BS391" s="118"/>
      <c r="BU391" s="154">
        <v>44536</v>
      </c>
      <c r="BV391" s="79">
        <v>193</v>
      </c>
      <c r="BW391" s="118"/>
      <c r="BY391" s="154">
        <v>44536</v>
      </c>
      <c r="BZ391" s="79">
        <v>234</v>
      </c>
      <c r="CA391" s="118"/>
    </row>
    <row r="392" spans="1:79">
      <c r="A392" s="138">
        <v>44529</v>
      </c>
      <c r="B392" s="120">
        <v>4</v>
      </c>
      <c r="C392" s="80"/>
      <c r="E392" s="80">
        <v>44523</v>
      </c>
      <c r="F392" s="120">
        <v>4</v>
      </c>
      <c r="G392" s="120"/>
      <c r="I392" s="118">
        <v>44516</v>
      </c>
      <c r="J392" s="79">
        <v>4</v>
      </c>
      <c r="K392" s="118"/>
      <c r="L392" s="37"/>
      <c r="M392" s="37"/>
      <c r="N392" s="80">
        <v>44509</v>
      </c>
      <c r="O392" s="120">
        <v>3</v>
      </c>
      <c r="P392" s="120">
        <v>2</v>
      </c>
      <c r="R392" s="37"/>
      <c r="S392" s="130"/>
      <c r="U392" s="161">
        <v>44529</v>
      </c>
      <c r="V392" s="120">
        <v>4</v>
      </c>
      <c r="W392" s="80"/>
      <c r="Y392" s="80">
        <v>44529</v>
      </c>
      <c r="Z392" s="120">
        <v>7</v>
      </c>
      <c r="AA392" s="80"/>
      <c r="AC392" s="118">
        <v>44524</v>
      </c>
      <c r="AD392" s="79">
        <v>1</v>
      </c>
      <c r="AE392" s="118"/>
      <c r="AG392" s="117">
        <v>44520</v>
      </c>
      <c r="AH392" s="37"/>
      <c r="AI392" s="118"/>
      <c r="AK392" s="121" t="s">
        <v>85</v>
      </c>
      <c r="AL392" s="121">
        <f>COUNTA(AL373:AL391)</f>
        <v>10</v>
      </c>
      <c r="AM392" s="158">
        <f>IF(AL392&lt;=$U$45,1,AL392/$U$45)</f>
        <v>1</v>
      </c>
      <c r="AO392" s="156">
        <v>44537</v>
      </c>
      <c r="AQ392" s="118"/>
      <c r="AS392" s="156">
        <v>44537</v>
      </c>
      <c r="AT392">
        <v>98</v>
      </c>
      <c r="AU392" s="118"/>
      <c r="AW392" s="156">
        <v>44537</v>
      </c>
      <c r="AX392">
        <v>148</v>
      </c>
      <c r="AY392" s="118"/>
      <c r="BA392" s="156">
        <v>44537</v>
      </c>
      <c r="BB392" s="79">
        <v>194</v>
      </c>
      <c r="BC392" s="118"/>
      <c r="BE392" s="156">
        <v>44537</v>
      </c>
      <c r="BF392" s="79">
        <v>235</v>
      </c>
      <c r="BG392" s="118"/>
      <c r="BI392" s="156">
        <v>44537</v>
      </c>
      <c r="BK392" s="118"/>
      <c r="BM392" s="156">
        <v>44537</v>
      </c>
      <c r="BN392">
        <v>98</v>
      </c>
      <c r="BO392" s="118"/>
      <c r="BQ392" s="156">
        <v>44537</v>
      </c>
      <c r="BR392">
        <v>148</v>
      </c>
      <c r="BS392" s="118"/>
      <c r="BU392" s="156">
        <v>44537</v>
      </c>
      <c r="BV392" s="79">
        <v>194</v>
      </c>
      <c r="BW392" s="118"/>
      <c r="BY392" s="156">
        <v>44537</v>
      </c>
      <c r="BZ392" s="79">
        <v>235</v>
      </c>
      <c r="CA392" s="118"/>
    </row>
    <row r="393" spans="1:79">
      <c r="A393" s="133">
        <v>44530</v>
      </c>
      <c r="C393" s="120"/>
      <c r="D393" s="119"/>
      <c r="E393" s="119">
        <v>44524</v>
      </c>
      <c r="G393" s="120"/>
      <c r="H393" s="119"/>
      <c r="I393" s="118">
        <v>44517</v>
      </c>
      <c r="J393" s="79">
        <v>5</v>
      </c>
      <c r="K393" s="79"/>
      <c r="L393" s="119"/>
      <c r="M393" s="119"/>
      <c r="N393" s="80">
        <v>44510</v>
      </c>
      <c r="O393" s="120">
        <v>4</v>
      </c>
      <c r="P393" s="120">
        <v>3</v>
      </c>
      <c r="Q393" s="119"/>
      <c r="R393" s="79">
        <v>1</v>
      </c>
      <c r="S393" s="132"/>
      <c r="U393" s="156">
        <v>44530</v>
      </c>
      <c r="W393" s="80"/>
      <c r="X393" s="119"/>
      <c r="Y393" s="80">
        <v>44530</v>
      </c>
      <c r="Z393" s="120">
        <v>8</v>
      </c>
      <c r="AA393" s="80"/>
      <c r="AC393" s="119">
        <v>44525</v>
      </c>
      <c r="AE393" s="118"/>
      <c r="AG393" s="117">
        <v>44521</v>
      </c>
      <c r="AH393" s="37"/>
      <c r="AI393" s="118"/>
      <c r="AK393" s="119">
        <v>44517</v>
      </c>
      <c r="AL393" s="120">
        <v>1</v>
      </c>
      <c r="AM393" s="159"/>
      <c r="AO393" s="156">
        <v>44538</v>
      </c>
      <c r="AQ393" s="118"/>
      <c r="AS393" s="156">
        <v>44538</v>
      </c>
      <c r="AU393" s="118"/>
      <c r="AW393" s="156">
        <v>44538</v>
      </c>
      <c r="AX393">
        <v>149</v>
      </c>
      <c r="AY393" s="118"/>
      <c r="BA393" s="156">
        <v>44538</v>
      </c>
      <c r="BB393" s="79">
        <v>195</v>
      </c>
      <c r="BC393" s="118"/>
      <c r="BE393" s="156">
        <v>44538</v>
      </c>
      <c r="BF393" s="79">
        <v>236</v>
      </c>
      <c r="BG393" s="118"/>
      <c r="BI393" s="156">
        <v>44538</v>
      </c>
      <c r="BK393" s="118"/>
      <c r="BM393" s="156">
        <v>44538</v>
      </c>
      <c r="BO393" s="118"/>
      <c r="BQ393" s="156">
        <v>44538</v>
      </c>
      <c r="BR393">
        <v>149</v>
      </c>
      <c r="BS393" s="118"/>
      <c r="BU393" s="156">
        <v>44538</v>
      </c>
      <c r="BV393" s="79">
        <v>195</v>
      </c>
      <c r="BW393" s="118"/>
      <c r="BY393" s="156">
        <v>44538</v>
      </c>
      <c r="BZ393" s="79">
        <v>236</v>
      </c>
      <c r="CA393" s="118"/>
    </row>
    <row r="394" spans="1:79">
      <c r="A394" s="133">
        <v>44531</v>
      </c>
      <c r="C394" s="120"/>
      <c r="E394" s="119">
        <v>44525</v>
      </c>
      <c r="G394" s="120"/>
      <c r="I394" s="118">
        <v>44518</v>
      </c>
      <c r="J394" s="79">
        <v>6</v>
      </c>
      <c r="K394" s="118"/>
      <c r="N394" s="117">
        <v>44511</v>
      </c>
      <c r="O394" s="37"/>
      <c r="P394" s="37"/>
      <c r="R394" s="79">
        <v>2</v>
      </c>
      <c r="S394" s="134"/>
      <c r="U394" s="156">
        <v>44531</v>
      </c>
      <c r="W394" s="80"/>
      <c r="Y394" s="119">
        <v>44531</v>
      </c>
      <c r="AA394" s="80"/>
      <c r="AC394" s="119">
        <v>44526</v>
      </c>
      <c r="AE394" s="118"/>
      <c r="AG394" s="118">
        <v>44522</v>
      </c>
      <c r="AH394" s="79">
        <v>3</v>
      </c>
      <c r="AI394" s="79"/>
      <c r="AK394" s="119">
        <v>44518</v>
      </c>
      <c r="AL394" s="79">
        <v>2</v>
      </c>
      <c r="AM394" s="149"/>
      <c r="AO394" s="156">
        <v>44539</v>
      </c>
      <c r="AQ394" s="118"/>
      <c r="AR394" s="119"/>
      <c r="AS394" s="156">
        <v>44539</v>
      </c>
      <c r="AU394" s="118"/>
      <c r="AW394" s="156">
        <v>44539</v>
      </c>
      <c r="AY394" s="118"/>
      <c r="BA394" s="156">
        <v>44539</v>
      </c>
      <c r="BB394" s="79">
        <v>196</v>
      </c>
      <c r="BC394" s="118"/>
      <c r="BE394" s="156">
        <v>44539</v>
      </c>
      <c r="BF394" s="79">
        <v>237</v>
      </c>
      <c r="BG394" s="118"/>
      <c r="BI394" s="156">
        <v>44539</v>
      </c>
      <c r="BK394" s="118"/>
      <c r="BL394" s="119"/>
      <c r="BM394" s="156">
        <v>44539</v>
      </c>
      <c r="BO394" s="118"/>
      <c r="BQ394" s="156">
        <v>44539</v>
      </c>
      <c r="BS394" s="118"/>
      <c r="BU394" s="156">
        <v>44539</v>
      </c>
      <c r="BV394" s="79">
        <v>196</v>
      </c>
      <c r="BW394" s="118"/>
      <c r="BY394" s="156">
        <v>44539</v>
      </c>
      <c r="BZ394" s="79">
        <v>237</v>
      </c>
      <c r="CA394" s="118"/>
    </row>
    <row r="395" spans="1:79">
      <c r="A395" s="133">
        <v>44532</v>
      </c>
      <c r="C395" s="120"/>
      <c r="E395" s="119">
        <v>44526</v>
      </c>
      <c r="G395" s="120"/>
      <c r="I395" s="121" t="s">
        <v>85</v>
      </c>
      <c r="J395" s="121">
        <f>COUNTA(J384:J394)</f>
        <v>6</v>
      </c>
      <c r="K395" s="122">
        <f>IF(J395&lt;=$A$45,1,J395/$A$45)</f>
        <v>1</v>
      </c>
      <c r="N395" s="80">
        <v>44512</v>
      </c>
      <c r="O395" s="120">
        <v>5</v>
      </c>
      <c r="P395" s="120">
        <v>4</v>
      </c>
      <c r="R395" s="79">
        <v>3</v>
      </c>
      <c r="S395" s="134"/>
      <c r="U395" s="156">
        <v>44532</v>
      </c>
      <c r="W395" s="80"/>
      <c r="Y395" s="119">
        <v>44532</v>
      </c>
      <c r="AA395" s="80"/>
      <c r="AC395" s="117">
        <v>44527</v>
      </c>
      <c r="AD395" s="37"/>
      <c r="AE395" s="118"/>
      <c r="AG395" s="118">
        <v>44523</v>
      </c>
      <c r="AH395" s="79">
        <v>4</v>
      </c>
      <c r="AI395" s="79"/>
      <c r="AK395" s="119">
        <v>44519</v>
      </c>
      <c r="AL395">
        <v>3</v>
      </c>
      <c r="AM395" s="148"/>
      <c r="AO395" s="156">
        <v>44540</v>
      </c>
      <c r="AQ395" s="118"/>
      <c r="AS395" s="156">
        <v>44540</v>
      </c>
      <c r="AU395" s="118"/>
      <c r="AW395" s="156">
        <v>44540</v>
      </c>
      <c r="AY395" s="118"/>
      <c r="BA395" s="156">
        <v>44540</v>
      </c>
      <c r="BC395" s="118"/>
      <c r="BE395" s="156">
        <v>44540</v>
      </c>
      <c r="BF395" s="79">
        <v>238</v>
      </c>
      <c r="BG395" s="118"/>
      <c r="BI395" s="156">
        <v>44540</v>
      </c>
      <c r="BK395" s="118"/>
      <c r="BM395" s="156">
        <v>44540</v>
      </c>
      <c r="BO395" s="118"/>
      <c r="BQ395" s="156">
        <v>44540</v>
      </c>
      <c r="BS395" s="118"/>
      <c r="BU395" s="156">
        <v>44540</v>
      </c>
      <c r="BW395" s="118"/>
      <c r="BY395" s="156">
        <v>44540</v>
      </c>
      <c r="BZ395" s="79">
        <v>238</v>
      </c>
      <c r="CA395" s="118"/>
    </row>
    <row r="396" spans="1:79">
      <c r="A396" s="133">
        <v>44533</v>
      </c>
      <c r="C396" s="120"/>
      <c r="E396" s="117">
        <v>44527</v>
      </c>
      <c r="F396" s="37"/>
      <c r="G396" s="120"/>
      <c r="I396" s="119">
        <v>44519</v>
      </c>
      <c r="N396" s="117">
        <v>44513</v>
      </c>
      <c r="O396" s="37"/>
      <c r="P396" s="37"/>
      <c r="R396" s="79">
        <v>4</v>
      </c>
      <c r="S396" s="134"/>
      <c r="U396" s="156">
        <v>44533</v>
      </c>
      <c r="W396" s="80"/>
      <c r="Y396" s="119">
        <v>44533</v>
      </c>
      <c r="AA396" s="80"/>
      <c r="AC396" s="117">
        <v>44528</v>
      </c>
      <c r="AD396" s="37"/>
      <c r="AE396" s="118"/>
      <c r="AG396" s="118">
        <v>44524</v>
      </c>
      <c r="AH396" s="79">
        <v>5</v>
      </c>
      <c r="AI396" s="79"/>
      <c r="AK396" s="117">
        <v>44520</v>
      </c>
      <c r="AL396" s="37"/>
      <c r="AM396" s="148"/>
      <c r="AO396" s="152">
        <v>44541</v>
      </c>
      <c r="AP396" s="37"/>
      <c r="AQ396" s="118"/>
      <c r="AS396" s="152">
        <v>44541</v>
      </c>
      <c r="AT396" s="37"/>
      <c r="AU396" s="118"/>
      <c r="AW396" s="152">
        <v>44541</v>
      </c>
      <c r="AX396" s="37"/>
      <c r="AY396" s="118"/>
      <c r="BA396" s="152">
        <v>44541</v>
      </c>
      <c r="BB396" s="37"/>
      <c r="BC396" s="118"/>
      <c r="BE396" s="152">
        <v>44541</v>
      </c>
      <c r="BF396" s="37"/>
      <c r="BG396" s="118"/>
      <c r="BI396" s="152">
        <v>44541</v>
      </c>
      <c r="BJ396" s="37"/>
      <c r="BK396" s="118"/>
      <c r="BM396" s="152">
        <v>44541</v>
      </c>
      <c r="BN396" s="37"/>
      <c r="BO396" s="118"/>
      <c r="BQ396" s="152">
        <v>44541</v>
      </c>
      <c r="BR396" s="37"/>
      <c r="BS396" s="118"/>
      <c r="BU396" s="152">
        <v>44541</v>
      </c>
      <c r="BV396" s="37"/>
      <c r="BW396" s="118"/>
      <c r="BY396" s="152">
        <v>44541</v>
      </c>
      <c r="BZ396" s="37"/>
      <c r="CA396" s="118"/>
    </row>
    <row r="397" spans="1:79">
      <c r="A397" s="129">
        <v>44534</v>
      </c>
      <c r="B397" s="37"/>
      <c r="C397" s="37"/>
      <c r="E397" s="117">
        <v>44528</v>
      </c>
      <c r="F397" s="37"/>
      <c r="G397" s="120"/>
      <c r="I397" s="117">
        <v>44520</v>
      </c>
      <c r="J397" s="37"/>
      <c r="K397" s="37"/>
      <c r="N397" s="117">
        <v>44514</v>
      </c>
      <c r="O397" s="37"/>
      <c r="P397" s="37"/>
      <c r="R397" s="79">
        <v>5</v>
      </c>
      <c r="S397" s="134"/>
      <c r="U397" s="152">
        <v>44534</v>
      </c>
      <c r="V397" s="37"/>
      <c r="W397" s="80"/>
      <c r="Y397" s="117">
        <v>44534</v>
      </c>
      <c r="Z397" s="37"/>
      <c r="AA397" s="80"/>
      <c r="AC397" s="118">
        <v>44529</v>
      </c>
      <c r="AD397" s="79">
        <v>2</v>
      </c>
      <c r="AE397" s="118"/>
      <c r="AG397" s="118">
        <v>44525</v>
      </c>
      <c r="AH397" s="79">
        <v>6</v>
      </c>
      <c r="AI397" s="79"/>
      <c r="AK397" s="117">
        <v>44521</v>
      </c>
      <c r="AL397" s="37"/>
      <c r="AM397" s="148"/>
      <c r="AO397" s="152">
        <v>44542</v>
      </c>
      <c r="AP397" s="37"/>
      <c r="AQ397" s="118"/>
      <c r="AS397" s="152">
        <v>44542</v>
      </c>
      <c r="AT397" s="37"/>
      <c r="AU397" s="118"/>
      <c r="AW397" s="152">
        <v>44542</v>
      </c>
      <c r="AX397" s="37"/>
      <c r="AY397" s="118"/>
      <c r="BA397" s="152">
        <v>44542</v>
      </c>
      <c r="BB397" s="37"/>
      <c r="BC397" s="118"/>
      <c r="BE397" s="152">
        <v>44542</v>
      </c>
      <c r="BF397" s="37"/>
      <c r="BG397" s="118"/>
      <c r="BI397" s="152">
        <v>44542</v>
      </c>
      <c r="BJ397" s="37"/>
      <c r="BK397" s="118"/>
      <c r="BM397" s="152">
        <v>44542</v>
      </c>
      <c r="BN397" s="37"/>
      <c r="BO397" s="118"/>
      <c r="BQ397" s="152">
        <v>44542</v>
      </c>
      <c r="BR397" s="37"/>
      <c r="BS397" s="118"/>
      <c r="BU397" s="152">
        <v>44542</v>
      </c>
      <c r="BV397" s="37"/>
      <c r="BW397" s="118"/>
      <c r="BY397" s="152">
        <v>44542</v>
      </c>
      <c r="BZ397" s="37"/>
      <c r="CA397" s="118"/>
    </row>
    <row r="398" spans="1:79">
      <c r="A398" s="129">
        <v>44535</v>
      </c>
      <c r="B398" s="37"/>
      <c r="C398" s="37"/>
      <c r="D398" s="72"/>
      <c r="E398" s="80">
        <v>44529</v>
      </c>
      <c r="F398" s="120">
        <v>5</v>
      </c>
      <c r="G398" s="120"/>
      <c r="H398" s="72"/>
      <c r="I398" s="117">
        <v>44521</v>
      </c>
      <c r="J398" s="37"/>
      <c r="K398" s="37"/>
      <c r="L398" s="122"/>
      <c r="M398" s="122"/>
      <c r="N398" s="117">
        <v>44515</v>
      </c>
      <c r="O398" s="37"/>
      <c r="P398" s="37"/>
      <c r="Q398" s="72"/>
      <c r="R398" s="121">
        <f>COUNTA(R368:R397)</f>
        <v>20</v>
      </c>
      <c r="S398" s="137">
        <f>IF(R398&lt;=$A$45,1,R398/$A$45)</f>
        <v>3.3333333333333335</v>
      </c>
      <c r="U398" s="152">
        <v>44535</v>
      </c>
      <c r="V398" s="37"/>
      <c r="W398" s="80"/>
      <c r="X398" s="72"/>
      <c r="Y398" s="117">
        <v>44535</v>
      </c>
      <c r="Z398" s="37"/>
      <c r="AA398" s="80"/>
      <c r="AC398" s="118">
        <v>44530</v>
      </c>
      <c r="AD398" s="79">
        <v>3</v>
      </c>
      <c r="AE398" s="79"/>
      <c r="AG398" s="119">
        <v>44526</v>
      </c>
      <c r="AI398" s="118"/>
      <c r="AK398" s="118">
        <v>44522</v>
      </c>
      <c r="AL398" s="79">
        <v>4</v>
      </c>
      <c r="AM398" s="149"/>
      <c r="AO398" s="154">
        <v>44543</v>
      </c>
      <c r="AP398" s="79">
        <v>49</v>
      </c>
      <c r="AQ398" s="118"/>
      <c r="AS398" s="154">
        <v>44543</v>
      </c>
      <c r="AT398" s="79">
        <v>99</v>
      </c>
      <c r="AU398" s="118"/>
      <c r="AW398" s="154">
        <v>44543</v>
      </c>
      <c r="AX398" s="79">
        <v>150</v>
      </c>
      <c r="AY398" s="118"/>
      <c r="BA398" s="154">
        <v>44543</v>
      </c>
      <c r="BB398" s="79">
        <v>197</v>
      </c>
      <c r="BC398" s="118"/>
      <c r="BE398" s="154">
        <v>44543</v>
      </c>
      <c r="BF398" s="79">
        <v>239</v>
      </c>
      <c r="BG398" s="118"/>
      <c r="BI398" s="154">
        <v>44543</v>
      </c>
      <c r="BJ398" s="79">
        <v>49</v>
      </c>
      <c r="BK398" s="118"/>
      <c r="BM398" s="154">
        <v>44543</v>
      </c>
      <c r="BN398" s="79">
        <v>99</v>
      </c>
      <c r="BO398" s="118"/>
      <c r="BQ398" s="154">
        <v>44543</v>
      </c>
      <c r="BR398" s="79">
        <v>150</v>
      </c>
      <c r="BS398" s="118"/>
      <c r="BU398" s="154">
        <v>44543</v>
      </c>
      <c r="BV398" s="79">
        <v>197</v>
      </c>
      <c r="BW398" s="118"/>
      <c r="BY398" s="154">
        <v>44543</v>
      </c>
      <c r="BZ398" s="79">
        <v>239</v>
      </c>
      <c r="CA398" s="118"/>
    </row>
    <row r="399" spans="1:79">
      <c r="A399" s="138">
        <v>44536</v>
      </c>
      <c r="B399" s="120">
        <v>5</v>
      </c>
      <c r="C399" s="80"/>
      <c r="E399" s="80">
        <v>44530</v>
      </c>
      <c r="F399" s="120">
        <v>6</v>
      </c>
      <c r="G399" s="120"/>
      <c r="I399" s="80">
        <v>44522</v>
      </c>
      <c r="J399" s="120">
        <v>1</v>
      </c>
      <c r="K399" s="80"/>
      <c r="L399" s="37"/>
      <c r="M399" s="37"/>
      <c r="N399" s="80">
        <v>44516</v>
      </c>
      <c r="O399" s="120">
        <v>6</v>
      </c>
      <c r="P399" s="120">
        <v>1</v>
      </c>
      <c r="R399" s="37"/>
      <c r="S399" s="130"/>
      <c r="U399" s="161">
        <v>44536</v>
      </c>
      <c r="V399" s="120">
        <v>5</v>
      </c>
      <c r="W399" s="80"/>
      <c r="Y399" s="80">
        <v>44536</v>
      </c>
      <c r="Z399" s="120">
        <v>9</v>
      </c>
      <c r="AA399" s="80"/>
      <c r="AC399" s="118">
        <v>44531</v>
      </c>
      <c r="AD399" s="79">
        <v>4</v>
      </c>
      <c r="AE399" s="79"/>
      <c r="AG399" s="117">
        <v>44527</v>
      </c>
      <c r="AH399" s="37"/>
      <c r="AI399" s="118"/>
      <c r="AK399" s="119">
        <v>44523</v>
      </c>
      <c r="AL399" s="79">
        <v>5</v>
      </c>
      <c r="AM399" s="149"/>
      <c r="AO399" s="156">
        <v>44544</v>
      </c>
      <c r="AQ399" s="118"/>
      <c r="AR399" s="72"/>
      <c r="AS399" s="156">
        <v>44544</v>
      </c>
      <c r="AT399">
        <v>100</v>
      </c>
      <c r="AU399" s="118"/>
      <c r="AW399" s="156">
        <v>44544</v>
      </c>
      <c r="AX399">
        <v>151</v>
      </c>
      <c r="AY399" s="118"/>
      <c r="BA399" s="156">
        <v>44544</v>
      </c>
      <c r="BB399" s="79">
        <v>198</v>
      </c>
      <c r="BC399" s="118"/>
      <c r="BE399" s="156">
        <v>44544</v>
      </c>
      <c r="BF399" s="79">
        <v>240</v>
      </c>
      <c r="BG399" s="118"/>
      <c r="BI399" s="156">
        <v>44544</v>
      </c>
      <c r="BK399" s="118"/>
      <c r="BL399" s="72"/>
      <c r="BM399" s="156">
        <v>44544</v>
      </c>
      <c r="BN399">
        <v>100</v>
      </c>
      <c r="BO399" s="118"/>
      <c r="BQ399" s="156">
        <v>44544</v>
      </c>
      <c r="BR399">
        <v>151</v>
      </c>
      <c r="BS399" s="118"/>
      <c r="BU399" s="156">
        <v>44544</v>
      </c>
      <c r="BV399" s="79">
        <v>198</v>
      </c>
      <c r="BW399" s="118"/>
      <c r="BY399" s="156">
        <v>44544</v>
      </c>
      <c r="BZ399" s="79">
        <v>240</v>
      </c>
      <c r="CA399" s="118"/>
    </row>
    <row r="400" spans="1:79">
      <c r="A400" s="133">
        <v>44537</v>
      </c>
      <c r="C400" s="80"/>
      <c r="E400" s="121" t="s">
        <v>85</v>
      </c>
      <c r="F400" s="121">
        <f>COUNTA(F385:F399)</f>
        <v>6</v>
      </c>
      <c r="G400" s="122">
        <f>IF(F400&lt;=$A$45,1,F400/$A$45)</f>
        <v>1</v>
      </c>
      <c r="I400" s="80">
        <v>44523</v>
      </c>
      <c r="J400" s="120">
        <v>2</v>
      </c>
      <c r="K400" s="120"/>
      <c r="L400" s="37"/>
      <c r="M400" s="37"/>
      <c r="N400" s="121" t="s">
        <v>85</v>
      </c>
      <c r="O400" s="121">
        <f>COUNTA(O388:O399)</f>
        <v>6</v>
      </c>
      <c r="P400" s="122">
        <f>IF(O400&lt;=$A$45,1,O400/$A$45)</f>
        <v>1</v>
      </c>
      <c r="R400" s="37"/>
      <c r="S400" s="130"/>
      <c r="U400" s="156">
        <v>44537</v>
      </c>
      <c r="W400" s="80"/>
      <c r="Y400" s="80">
        <v>44537</v>
      </c>
      <c r="Z400" s="120">
        <v>10</v>
      </c>
      <c r="AA400" s="80"/>
      <c r="AC400" s="119">
        <v>44532</v>
      </c>
      <c r="AE400" s="79"/>
      <c r="AG400" s="117">
        <v>44528</v>
      </c>
      <c r="AH400" s="37"/>
      <c r="AI400" s="118"/>
      <c r="AK400" s="119">
        <v>44524</v>
      </c>
      <c r="AL400" s="79">
        <v>6</v>
      </c>
      <c r="AM400" s="149"/>
      <c r="AO400" s="156">
        <v>44545</v>
      </c>
      <c r="AQ400" s="118"/>
      <c r="AS400" s="156">
        <v>44545</v>
      </c>
      <c r="AU400" s="118"/>
      <c r="AW400" s="156">
        <v>44545</v>
      </c>
      <c r="AX400">
        <v>152</v>
      </c>
      <c r="AY400" s="118"/>
      <c r="BA400" s="156">
        <v>44545</v>
      </c>
      <c r="BB400" s="79">
        <v>199</v>
      </c>
      <c r="BC400" s="118"/>
      <c r="BE400" s="156">
        <v>44545</v>
      </c>
      <c r="BF400" s="79">
        <v>241</v>
      </c>
      <c r="BG400" s="118"/>
      <c r="BI400" s="156">
        <v>44545</v>
      </c>
      <c r="BK400" s="118"/>
      <c r="BM400" s="156">
        <v>44545</v>
      </c>
      <c r="BO400" s="118"/>
      <c r="BQ400" s="156">
        <v>44545</v>
      </c>
      <c r="BR400">
        <v>152</v>
      </c>
      <c r="BS400" s="118"/>
      <c r="BU400" s="156">
        <v>44545</v>
      </c>
      <c r="BV400" s="79">
        <v>199</v>
      </c>
      <c r="BW400" s="118"/>
      <c r="BY400" s="156">
        <v>44545</v>
      </c>
      <c r="BZ400" s="79">
        <v>241</v>
      </c>
      <c r="CA400" s="118"/>
    </row>
    <row r="401" spans="1:79">
      <c r="A401" s="136" t="s">
        <v>85</v>
      </c>
      <c r="B401" s="121">
        <f>COUNTA(B371:B400)</f>
        <v>5</v>
      </c>
      <c r="C401" s="122">
        <f>IF(B401&lt;=$A$45,1,B401/$A$45)</f>
        <v>1</v>
      </c>
      <c r="D401" s="119"/>
      <c r="E401" s="119">
        <v>44531</v>
      </c>
      <c r="H401" s="119"/>
      <c r="I401" s="80">
        <v>44524</v>
      </c>
      <c r="J401" s="120">
        <v>3</v>
      </c>
      <c r="K401" s="120"/>
      <c r="L401" s="119"/>
      <c r="M401" s="119"/>
      <c r="N401" s="118">
        <v>44517</v>
      </c>
      <c r="O401" s="79">
        <v>1</v>
      </c>
      <c r="P401" s="79">
        <v>2</v>
      </c>
      <c r="Q401" s="119"/>
      <c r="R401" s="79">
        <v>6</v>
      </c>
      <c r="S401" s="134"/>
      <c r="U401" s="160" t="s">
        <v>85</v>
      </c>
      <c r="V401" s="121">
        <f>COUNTA(V371:V400)</f>
        <v>5</v>
      </c>
      <c r="W401" s="122">
        <f>IF(V401&lt;=$U$45,1,V401/$U$45)</f>
        <v>1</v>
      </c>
      <c r="X401" s="119"/>
      <c r="Y401" s="121" t="s">
        <v>85</v>
      </c>
      <c r="Z401" s="121">
        <f>COUNTA(Z371:Z400)</f>
        <v>10</v>
      </c>
      <c r="AA401" s="122">
        <f>IF(Z401&lt;=$U$45,1,Z401/$U$45)</f>
        <v>1</v>
      </c>
      <c r="AC401" s="119">
        <v>44533</v>
      </c>
      <c r="AE401" s="79"/>
      <c r="AG401" s="118">
        <v>44529</v>
      </c>
      <c r="AH401" s="79">
        <v>7</v>
      </c>
      <c r="AI401" s="79"/>
      <c r="AK401" s="119">
        <v>44525</v>
      </c>
      <c r="AL401" s="79">
        <v>7</v>
      </c>
      <c r="AM401" s="149"/>
      <c r="AO401" s="156">
        <v>44546</v>
      </c>
      <c r="AQ401" s="118"/>
      <c r="AS401" s="156">
        <v>44546</v>
      </c>
      <c r="AU401" s="118"/>
      <c r="AW401" s="156">
        <v>44546</v>
      </c>
      <c r="AY401" s="118"/>
      <c r="BA401" s="156">
        <v>44546</v>
      </c>
      <c r="BB401" s="79">
        <v>200</v>
      </c>
      <c r="BC401" s="118"/>
      <c r="BE401" s="156">
        <v>44546</v>
      </c>
      <c r="BF401" s="79">
        <v>242</v>
      </c>
      <c r="BG401" s="118"/>
      <c r="BI401" s="156">
        <v>44546</v>
      </c>
      <c r="BK401" s="118"/>
      <c r="BM401" s="156">
        <v>44546</v>
      </c>
      <c r="BO401" s="118"/>
      <c r="BQ401" s="156">
        <v>44546</v>
      </c>
      <c r="BS401" s="118"/>
      <c r="BU401" s="156">
        <v>44546</v>
      </c>
      <c r="BV401" s="79">
        <v>200</v>
      </c>
      <c r="BW401" s="118"/>
      <c r="BY401" s="156">
        <v>44546</v>
      </c>
      <c r="BZ401" s="79">
        <v>242</v>
      </c>
      <c r="CA401" s="118"/>
    </row>
    <row r="402" spans="1:79">
      <c r="A402" s="133">
        <v>44538</v>
      </c>
      <c r="D402" s="119"/>
      <c r="E402" s="119">
        <v>44532</v>
      </c>
      <c r="H402" s="119"/>
      <c r="I402" s="119">
        <v>44525</v>
      </c>
      <c r="K402" s="120"/>
      <c r="L402" s="119"/>
      <c r="M402" s="119"/>
      <c r="N402" s="118">
        <v>44518</v>
      </c>
      <c r="O402" s="79">
        <v>2</v>
      </c>
      <c r="P402" s="79">
        <v>3</v>
      </c>
      <c r="Q402" s="119"/>
      <c r="R402" s="120">
        <v>1</v>
      </c>
      <c r="S402" s="135"/>
      <c r="U402" s="156">
        <v>44538</v>
      </c>
      <c r="X402" s="119"/>
      <c r="Y402" s="119">
        <v>44538</v>
      </c>
      <c r="AC402" s="117">
        <v>44534</v>
      </c>
      <c r="AD402" s="37"/>
      <c r="AE402" s="79"/>
      <c r="AG402" s="118">
        <v>44530</v>
      </c>
      <c r="AH402" s="79">
        <v>8</v>
      </c>
      <c r="AI402" s="79"/>
      <c r="AK402" s="119">
        <v>44526</v>
      </c>
      <c r="AL402" s="79">
        <v>8</v>
      </c>
      <c r="AM402" s="148"/>
      <c r="AO402" s="156">
        <v>44547</v>
      </c>
      <c r="AQ402" s="118"/>
      <c r="AR402" s="119"/>
      <c r="AS402" s="156">
        <v>44547</v>
      </c>
      <c r="AU402" s="118"/>
      <c r="AW402" s="156">
        <v>44547</v>
      </c>
      <c r="AY402" s="118"/>
      <c r="BA402" s="156">
        <v>44547</v>
      </c>
      <c r="BC402" s="118"/>
      <c r="BE402" s="156">
        <v>44547</v>
      </c>
      <c r="BF402" s="79">
        <v>243</v>
      </c>
      <c r="BG402" s="118"/>
      <c r="BI402" s="156">
        <v>44547</v>
      </c>
      <c r="BK402" s="118"/>
      <c r="BL402" s="119"/>
      <c r="BM402" s="156">
        <v>44547</v>
      </c>
      <c r="BO402" s="118"/>
      <c r="BQ402" s="156">
        <v>44547</v>
      </c>
      <c r="BS402" s="118"/>
      <c r="BU402" s="156">
        <v>44547</v>
      </c>
      <c r="BW402" s="118"/>
      <c r="BY402" s="156">
        <v>44547</v>
      </c>
      <c r="BZ402" s="79">
        <v>243</v>
      </c>
      <c r="CA402" s="118"/>
    </row>
    <row r="403" spans="1:79">
      <c r="A403" s="133">
        <v>44539</v>
      </c>
      <c r="E403" s="119">
        <v>44533</v>
      </c>
      <c r="I403" s="119">
        <v>44526</v>
      </c>
      <c r="K403" s="120"/>
      <c r="N403" s="118">
        <v>44519</v>
      </c>
      <c r="O403" s="79">
        <v>3</v>
      </c>
      <c r="P403" s="79">
        <v>4</v>
      </c>
      <c r="R403" s="120">
        <v>2</v>
      </c>
      <c r="S403" s="125"/>
      <c r="U403" s="156">
        <v>44539</v>
      </c>
      <c r="Y403" s="119">
        <v>44539</v>
      </c>
      <c r="AC403" s="117">
        <v>44535</v>
      </c>
      <c r="AD403" s="37"/>
      <c r="AE403" s="79"/>
      <c r="AG403" s="118">
        <v>44531</v>
      </c>
      <c r="AH403" s="79">
        <v>9</v>
      </c>
      <c r="AI403" s="79"/>
      <c r="AK403" s="117">
        <v>44527</v>
      </c>
      <c r="AL403" s="37"/>
      <c r="AM403" s="148"/>
      <c r="AO403" s="152">
        <v>44548</v>
      </c>
      <c r="AP403" s="37"/>
      <c r="AQ403" s="118"/>
      <c r="AR403" s="119"/>
      <c r="AS403" s="152">
        <v>44548</v>
      </c>
      <c r="AT403" s="37"/>
      <c r="AU403" s="118"/>
      <c r="AW403" s="152">
        <v>44548</v>
      </c>
      <c r="AX403" s="37"/>
      <c r="AY403" s="118"/>
      <c r="BA403" s="152">
        <v>44548</v>
      </c>
      <c r="BB403" s="37"/>
      <c r="BC403" s="118"/>
      <c r="BE403" s="152">
        <v>44548</v>
      </c>
      <c r="BF403" s="37"/>
      <c r="BG403" s="118"/>
      <c r="BI403" s="152">
        <v>44548</v>
      </c>
      <c r="BJ403" s="37"/>
      <c r="BK403" s="118"/>
      <c r="BL403" s="119"/>
      <c r="BM403" s="152">
        <v>44548</v>
      </c>
      <c r="BN403" s="37"/>
      <c r="BO403" s="118"/>
      <c r="BQ403" s="152">
        <v>44548</v>
      </c>
      <c r="BR403" s="37"/>
      <c r="BS403" s="118"/>
      <c r="BU403" s="152">
        <v>44548</v>
      </c>
      <c r="BV403" s="37"/>
      <c r="BW403" s="118"/>
      <c r="BY403" s="152">
        <v>44548</v>
      </c>
      <c r="BZ403" s="37"/>
      <c r="CA403" s="118"/>
    </row>
    <row r="404" spans="1:79">
      <c r="A404" s="133">
        <v>44540</v>
      </c>
      <c r="E404" s="117">
        <v>44534</v>
      </c>
      <c r="F404" s="37"/>
      <c r="G404" s="37"/>
      <c r="I404" s="117">
        <v>44527</v>
      </c>
      <c r="J404" s="37"/>
      <c r="K404" s="120"/>
      <c r="N404" s="117">
        <v>44520</v>
      </c>
      <c r="O404" s="37"/>
      <c r="P404" s="37"/>
      <c r="R404" s="120">
        <v>3</v>
      </c>
      <c r="S404" s="125"/>
      <c r="U404" s="156">
        <v>44540</v>
      </c>
      <c r="Y404" s="119">
        <v>44540</v>
      </c>
      <c r="AC404" s="118">
        <v>44536</v>
      </c>
      <c r="AD404" s="79">
        <v>5</v>
      </c>
      <c r="AE404" s="79"/>
      <c r="AG404" s="118">
        <v>44532</v>
      </c>
      <c r="AH404" s="79">
        <v>10</v>
      </c>
      <c r="AI404" s="79"/>
      <c r="AK404" s="117">
        <v>44528</v>
      </c>
      <c r="AL404" s="37"/>
      <c r="AM404" s="148"/>
      <c r="AO404" s="152">
        <v>44549</v>
      </c>
      <c r="AP404" s="37"/>
      <c r="AQ404" s="118"/>
      <c r="AS404" s="152">
        <v>44549</v>
      </c>
      <c r="AT404" s="37"/>
      <c r="AU404" s="118"/>
      <c r="AW404" s="152">
        <v>44549</v>
      </c>
      <c r="AX404" s="37"/>
      <c r="AY404" s="118"/>
      <c r="BA404" s="152">
        <v>44549</v>
      </c>
      <c r="BB404" s="37"/>
      <c r="BC404" s="118"/>
      <c r="BE404" s="152">
        <v>44549</v>
      </c>
      <c r="BF404" s="37"/>
      <c r="BG404" s="118"/>
      <c r="BI404" s="152">
        <v>44549</v>
      </c>
      <c r="BJ404" s="37"/>
      <c r="BK404" s="118"/>
      <c r="BM404" s="152">
        <v>44549</v>
      </c>
      <c r="BN404" s="37"/>
      <c r="BO404" s="118"/>
      <c r="BQ404" s="152">
        <v>44549</v>
      </c>
      <c r="BR404" s="37"/>
      <c r="BS404" s="118"/>
      <c r="BU404" s="152">
        <v>44549</v>
      </c>
      <c r="BV404" s="37"/>
      <c r="BW404" s="118"/>
      <c r="BY404" s="152">
        <v>44549</v>
      </c>
      <c r="BZ404" s="37"/>
      <c r="CA404" s="118"/>
    </row>
    <row r="405" spans="1:79">
      <c r="A405" s="129">
        <v>44541</v>
      </c>
      <c r="B405" s="37"/>
      <c r="C405" s="37"/>
      <c r="E405" s="117">
        <v>44535</v>
      </c>
      <c r="F405" s="37"/>
      <c r="G405" s="37"/>
      <c r="I405" s="117">
        <v>44528</v>
      </c>
      <c r="J405" s="37"/>
      <c r="K405" s="120"/>
      <c r="N405" s="117">
        <v>44521</v>
      </c>
      <c r="O405" s="37"/>
      <c r="P405" s="37"/>
      <c r="R405" s="120">
        <v>4</v>
      </c>
      <c r="S405" s="125"/>
      <c r="U405" s="152">
        <v>44541</v>
      </c>
      <c r="V405" s="37"/>
      <c r="W405" s="37"/>
      <c r="Y405" s="117">
        <v>44541</v>
      </c>
      <c r="Z405" s="37"/>
      <c r="AA405" s="37"/>
      <c r="AC405" s="118">
        <v>44537</v>
      </c>
      <c r="AD405" s="79">
        <v>6</v>
      </c>
      <c r="AE405" s="79"/>
      <c r="AG405" s="121" t="s">
        <v>85</v>
      </c>
      <c r="AH405" s="121">
        <f>COUNTA(AH389:AH404)</f>
        <v>10</v>
      </c>
      <c r="AI405" s="122">
        <f>IF(AH405&lt;=$U$45,1,AH405/$U$45)</f>
        <v>1</v>
      </c>
      <c r="AK405" s="118">
        <v>44529</v>
      </c>
      <c r="AL405" s="79">
        <v>9</v>
      </c>
      <c r="AM405" s="149"/>
      <c r="AO405" s="154">
        <v>44550</v>
      </c>
      <c r="AP405" s="79">
        <v>50</v>
      </c>
      <c r="AQ405" s="118"/>
      <c r="AS405" s="154">
        <v>44550</v>
      </c>
      <c r="AT405" s="79">
        <v>101</v>
      </c>
      <c r="AU405" s="118"/>
      <c r="AW405" s="154">
        <v>44550</v>
      </c>
      <c r="AX405" s="79">
        <v>153</v>
      </c>
      <c r="AY405" s="118"/>
      <c r="BA405" s="154">
        <v>44550</v>
      </c>
      <c r="BB405" s="79">
        <v>201</v>
      </c>
      <c r="BC405" s="118"/>
      <c r="BE405" s="154">
        <v>44550</v>
      </c>
      <c r="BF405" s="79">
        <v>244</v>
      </c>
      <c r="BG405" s="118"/>
      <c r="BI405" s="154">
        <v>44550</v>
      </c>
      <c r="BJ405" s="79">
        <v>50</v>
      </c>
      <c r="BK405" s="118"/>
      <c r="BM405" s="154">
        <v>44550</v>
      </c>
      <c r="BN405" s="79">
        <v>101</v>
      </c>
      <c r="BO405" s="118"/>
      <c r="BQ405" s="154">
        <v>44550</v>
      </c>
      <c r="BR405" s="79">
        <v>153</v>
      </c>
      <c r="BS405" s="118"/>
      <c r="BU405" s="154">
        <v>44550</v>
      </c>
      <c r="BV405" s="79">
        <v>201</v>
      </c>
      <c r="BW405" s="118"/>
      <c r="BY405" s="154">
        <v>44550</v>
      </c>
      <c r="BZ405" s="79">
        <v>244</v>
      </c>
      <c r="CA405" s="118"/>
    </row>
    <row r="406" spans="1:79">
      <c r="A406" s="129">
        <v>44542</v>
      </c>
      <c r="B406" s="37"/>
      <c r="C406" s="37"/>
      <c r="E406" s="118">
        <v>44536</v>
      </c>
      <c r="F406" s="79">
        <v>1</v>
      </c>
      <c r="G406" s="118"/>
      <c r="I406" s="80">
        <v>44529</v>
      </c>
      <c r="J406" s="120">
        <v>4</v>
      </c>
      <c r="K406" s="120"/>
      <c r="L406" s="37"/>
      <c r="M406" s="37"/>
      <c r="N406" s="118">
        <v>44522</v>
      </c>
      <c r="O406" s="79">
        <v>4</v>
      </c>
      <c r="P406" s="79">
        <v>1</v>
      </c>
      <c r="R406" s="37"/>
      <c r="S406" s="130"/>
      <c r="U406" s="152">
        <v>44542</v>
      </c>
      <c r="V406" s="37"/>
      <c r="W406" s="37"/>
      <c r="Y406" s="117">
        <v>44542</v>
      </c>
      <c r="Z406" s="37"/>
      <c r="AA406" s="37"/>
      <c r="AC406" s="118">
        <v>44538</v>
      </c>
      <c r="AD406" s="79">
        <v>7</v>
      </c>
      <c r="AE406" s="79"/>
      <c r="AG406" s="80">
        <v>44533</v>
      </c>
      <c r="AH406" s="120">
        <v>1</v>
      </c>
      <c r="AI406" s="80"/>
      <c r="AK406" s="119">
        <v>44530</v>
      </c>
      <c r="AL406" s="79">
        <v>10</v>
      </c>
      <c r="AM406" s="149"/>
      <c r="AO406" s="156">
        <v>44551</v>
      </c>
      <c r="AQ406" s="118"/>
      <c r="AS406" s="156">
        <v>44551</v>
      </c>
      <c r="AT406">
        <v>102</v>
      </c>
      <c r="AU406" s="118"/>
      <c r="AW406" s="156">
        <v>44551</v>
      </c>
      <c r="AX406">
        <v>154</v>
      </c>
      <c r="AY406" s="118"/>
      <c r="BA406" s="156">
        <v>44551</v>
      </c>
      <c r="BB406" s="79">
        <v>202</v>
      </c>
      <c r="BC406" s="118"/>
      <c r="BE406" s="156">
        <v>44551</v>
      </c>
      <c r="BF406" s="79">
        <v>245</v>
      </c>
      <c r="BG406" s="118"/>
      <c r="BI406" s="156">
        <v>44551</v>
      </c>
      <c r="BK406" s="118"/>
      <c r="BM406" s="156">
        <v>44551</v>
      </c>
      <c r="BN406">
        <v>102</v>
      </c>
      <c r="BO406" s="118"/>
      <c r="BQ406" s="156">
        <v>44551</v>
      </c>
      <c r="BR406">
        <v>154</v>
      </c>
      <c r="BS406" s="118"/>
      <c r="BU406" s="156">
        <v>44551</v>
      </c>
      <c r="BV406" s="79">
        <v>202</v>
      </c>
      <c r="BW406" s="118"/>
      <c r="BY406" s="156">
        <v>44551</v>
      </c>
      <c r="BZ406" s="79">
        <v>245</v>
      </c>
      <c r="CA406" s="118"/>
    </row>
    <row r="407" spans="1:79">
      <c r="A407" s="131">
        <v>44543</v>
      </c>
      <c r="B407" s="79">
        <v>1</v>
      </c>
      <c r="C407" s="118">
        <f>EDATE($A407,1)-1</f>
        <v>44573</v>
      </c>
      <c r="E407" s="118">
        <v>44537</v>
      </c>
      <c r="F407" s="79">
        <v>2</v>
      </c>
      <c r="G407" s="118"/>
      <c r="I407" s="80">
        <v>44530</v>
      </c>
      <c r="J407" s="120">
        <v>5</v>
      </c>
      <c r="K407" s="120"/>
      <c r="L407" s="37"/>
      <c r="M407" s="37"/>
      <c r="N407" s="118">
        <v>44523</v>
      </c>
      <c r="O407" s="79">
        <v>5</v>
      </c>
      <c r="P407" s="79">
        <v>2</v>
      </c>
      <c r="R407" s="37"/>
      <c r="S407" s="130"/>
      <c r="U407" s="154">
        <v>44543</v>
      </c>
      <c r="V407" s="79">
        <v>1</v>
      </c>
      <c r="W407" s="118">
        <f>EDATE($U407,1)-$W$49</f>
        <v>44573</v>
      </c>
      <c r="Y407" s="118">
        <v>44543</v>
      </c>
      <c r="Z407" s="79">
        <v>1</v>
      </c>
      <c r="AA407" s="118">
        <f>EDATE(Y407,1)-1</f>
        <v>44573</v>
      </c>
      <c r="AC407" s="119">
        <v>44539</v>
      </c>
      <c r="AE407" s="79"/>
      <c r="AG407" s="117">
        <v>44534</v>
      </c>
      <c r="AH407" s="37"/>
      <c r="AI407" s="80"/>
      <c r="AK407" s="121" t="s">
        <v>85</v>
      </c>
      <c r="AL407" s="121">
        <f>COUNTA(AL393:AL406)</f>
        <v>10</v>
      </c>
      <c r="AM407" s="158">
        <f>IF(AL407&lt;=$U$45,1,AL407/$U$45)</f>
        <v>1</v>
      </c>
      <c r="AO407" s="156">
        <v>44552</v>
      </c>
      <c r="AQ407" s="118"/>
      <c r="AS407" s="156">
        <v>44552</v>
      </c>
      <c r="AU407" s="118"/>
      <c r="AW407" s="156">
        <v>44552</v>
      </c>
      <c r="AX407">
        <v>155</v>
      </c>
      <c r="AY407" s="118"/>
      <c r="BA407" s="156">
        <v>44552</v>
      </c>
      <c r="BB407" s="79">
        <v>203</v>
      </c>
      <c r="BC407" s="118"/>
      <c r="BE407" s="156">
        <v>44552</v>
      </c>
      <c r="BF407" s="79">
        <v>246</v>
      </c>
      <c r="BG407" s="118"/>
      <c r="BI407" s="156">
        <v>44552</v>
      </c>
      <c r="BK407" s="118"/>
      <c r="BM407" s="156">
        <v>44552</v>
      </c>
      <c r="BO407" s="118"/>
      <c r="BQ407" s="156">
        <v>44552</v>
      </c>
      <c r="BR407">
        <v>155</v>
      </c>
      <c r="BS407" s="118"/>
      <c r="BU407" s="156">
        <v>44552</v>
      </c>
      <c r="BV407" s="79">
        <v>203</v>
      </c>
      <c r="BW407" s="118"/>
      <c r="BY407" s="156">
        <v>44552</v>
      </c>
      <c r="BZ407" s="79">
        <v>246</v>
      </c>
      <c r="CA407" s="118"/>
    </row>
    <row r="408" spans="1:79">
      <c r="A408" s="133">
        <v>44544</v>
      </c>
      <c r="C408" s="79"/>
      <c r="D408" s="119"/>
      <c r="E408" s="119">
        <v>44538</v>
      </c>
      <c r="G408" s="118"/>
      <c r="H408" s="119"/>
      <c r="I408" s="80">
        <v>44531</v>
      </c>
      <c r="J408" s="120">
        <v>6</v>
      </c>
      <c r="K408" s="120"/>
      <c r="L408" s="119"/>
      <c r="M408" s="119"/>
      <c r="N408" s="118">
        <v>44524</v>
      </c>
      <c r="O408" s="79">
        <v>6</v>
      </c>
      <c r="P408" s="79">
        <v>3</v>
      </c>
      <c r="Q408" s="119"/>
      <c r="R408" s="120">
        <v>5</v>
      </c>
      <c r="S408" s="125"/>
      <c r="U408" s="156">
        <v>44544</v>
      </c>
      <c r="W408" s="79"/>
      <c r="Y408" s="118">
        <v>44544</v>
      </c>
      <c r="Z408" s="79">
        <v>2</v>
      </c>
      <c r="AA408" s="79"/>
      <c r="AC408" s="119">
        <v>44540</v>
      </c>
      <c r="AE408" s="79"/>
      <c r="AG408" s="117">
        <v>44535</v>
      </c>
      <c r="AH408" s="37"/>
      <c r="AI408" s="80"/>
      <c r="AK408" s="119">
        <v>44531</v>
      </c>
      <c r="AL408" s="79">
        <v>1</v>
      </c>
      <c r="AM408" s="149"/>
      <c r="AO408" s="156">
        <v>44553</v>
      </c>
      <c r="AQ408" s="118"/>
      <c r="AS408" s="156">
        <v>44553</v>
      </c>
      <c r="AU408" s="118"/>
      <c r="AW408" s="156">
        <v>44553</v>
      </c>
      <c r="AY408" s="118"/>
      <c r="BA408" s="156">
        <v>44553</v>
      </c>
      <c r="BB408" s="79">
        <v>204</v>
      </c>
      <c r="BC408" s="118"/>
      <c r="BE408" s="156">
        <v>44553</v>
      </c>
      <c r="BF408" s="79">
        <v>247</v>
      </c>
      <c r="BG408" s="118"/>
      <c r="BI408" s="156">
        <v>44553</v>
      </c>
      <c r="BK408" s="118"/>
      <c r="BM408" s="156">
        <v>44553</v>
      </c>
      <c r="BO408" s="118"/>
      <c r="BQ408" s="156">
        <v>44553</v>
      </c>
      <c r="BS408" s="118"/>
      <c r="BU408" s="156">
        <v>44553</v>
      </c>
      <c r="BV408" s="79">
        <v>204</v>
      </c>
      <c r="BW408" s="118"/>
      <c r="BY408" s="156">
        <v>44553</v>
      </c>
      <c r="BZ408" s="79">
        <v>247</v>
      </c>
      <c r="CA408" s="118"/>
    </row>
    <row r="409" spans="1:79">
      <c r="A409" s="133">
        <v>44545</v>
      </c>
      <c r="C409" s="118"/>
      <c r="E409" s="119">
        <v>44539</v>
      </c>
      <c r="G409" s="118"/>
      <c r="I409" s="121" t="s">
        <v>85</v>
      </c>
      <c r="J409" s="121">
        <f>COUNTA(J399:J408)</f>
        <v>6</v>
      </c>
      <c r="K409" s="122">
        <f>IF(J409&lt;=$A$45,1,J409/$A$45)</f>
        <v>1</v>
      </c>
      <c r="N409" s="121" t="s">
        <v>85</v>
      </c>
      <c r="O409" s="121">
        <f>COUNTA(O401:O408)</f>
        <v>6</v>
      </c>
      <c r="P409" s="122">
        <f>IF(O409&lt;=$A$45,1,O409/$A$45)</f>
        <v>1</v>
      </c>
      <c r="R409" s="120">
        <v>6</v>
      </c>
      <c r="S409" s="125"/>
      <c r="U409" s="156">
        <v>44545</v>
      </c>
      <c r="W409" s="118"/>
      <c r="Y409" s="119">
        <v>44545</v>
      </c>
      <c r="AA409" s="79"/>
      <c r="AC409" s="117">
        <v>44541</v>
      </c>
      <c r="AD409" s="37"/>
      <c r="AE409" s="79"/>
      <c r="AG409" s="80">
        <v>44536</v>
      </c>
      <c r="AH409" s="120">
        <v>2</v>
      </c>
      <c r="AI409" s="80"/>
      <c r="AK409" s="119">
        <v>44532</v>
      </c>
      <c r="AL409" s="79">
        <v>2</v>
      </c>
      <c r="AM409" s="149"/>
      <c r="AO409" s="156">
        <v>44554</v>
      </c>
      <c r="AQ409" s="118"/>
      <c r="AS409" s="156">
        <v>44554</v>
      </c>
      <c r="AU409" s="118"/>
      <c r="AW409" s="156">
        <v>44554</v>
      </c>
      <c r="AY409" s="118"/>
      <c r="BA409" s="156">
        <v>44554</v>
      </c>
      <c r="BC409" s="118"/>
      <c r="BE409" s="156">
        <v>44554</v>
      </c>
      <c r="BF409" s="79">
        <v>248</v>
      </c>
      <c r="BG409" s="118"/>
      <c r="BI409" s="156">
        <v>44554</v>
      </c>
      <c r="BK409" s="118"/>
      <c r="BM409" s="156">
        <v>44554</v>
      </c>
      <c r="BO409" s="118"/>
      <c r="BQ409" s="156">
        <v>44554</v>
      </c>
      <c r="BS409" s="118"/>
      <c r="BU409" s="156">
        <v>44554</v>
      </c>
      <c r="BW409" s="118"/>
      <c r="BY409" s="156">
        <v>44554</v>
      </c>
      <c r="BZ409" s="79">
        <v>248</v>
      </c>
      <c r="CA409" s="118"/>
    </row>
    <row r="410" spans="1:79">
      <c r="A410" s="133">
        <v>44546</v>
      </c>
      <c r="C410" s="79"/>
      <c r="D410" s="119"/>
      <c r="E410" s="119">
        <v>44540</v>
      </c>
      <c r="G410" s="118"/>
      <c r="H410" s="119"/>
      <c r="I410" s="119">
        <v>44532</v>
      </c>
      <c r="N410" s="80">
        <v>44525</v>
      </c>
      <c r="O410" s="120">
        <v>1</v>
      </c>
      <c r="P410" s="120">
        <v>4</v>
      </c>
      <c r="Q410" s="119"/>
      <c r="R410" s="79">
        <v>1</v>
      </c>
      <c r="S410" s="132"/>
      <c r="U410" s="156">
        <v>44546</v>
      </c>
      <c r="W410" s="79"/>
      <c r="X410" s="119"/>
      <c r="Y410" s="119">
        <v>44546</v>
      </c>
      <c r="AA410" s="79"/>
      <c r="AC410" s="117">
        <v>44542</v>
      </c>
      <c r="AD410" s="37"/>
      <c r="AE410" s="79"/>
      <c r="AG410" s="80">
        <v>44537</v>
      </c>
      <c r="AH410" s="120">
        <v>3</v>
      </c>
      <c r="AI410" s="80"/>
      <c r="AK410" s="119">
        <v>44533</v>
      </c>
      <c r="AL410" s="79">
        <v>3</v>
      </c>
      <c r="AM410" s="149"/>
      <c r="AO410" s="152">
        <v>44555</v>
      </c>
      <c r="AP410" s="37"/>
      <c r="AQ410" s="118"/>
      <c r="AS410" s="152">
        <v>44555</v>
      </c>
      <c r="AT410" s="37"/>
      <c r="AU410" s="118"/>
      <c r="AW410" s="152">
        <v>44555</v>
      </c>
      <c r="AX410" s="37"/>
      <c r="AY410" s="118"/>
      <c r="BA410" s="152">
        <v>44555</v>
      </c>
      <c r="BB410" s="37"/>
      <c r="BC410" s="118"/>
      <c r="BE410" s="152">
        <v>44555</v>
      </c>
      <c r="BF410" s="37"/>
      <c r="BG410" s="118"/>
      <c r="BI410" s="152">
        <v>44555</v>
      </c>
      <c r="BJ410" s="37"/>
      <c r="BK410" s="118"/>
      <c r="BM410" s="152">
        <v>44555</v>
      </c>
      <c r="BN410" s="37"/>
      <c r="BO410" s="118"/>
      <c r="BQ410" s="152">
        <v>44555</v>
      </c>
      <c r="BR410" s="37"/>
      <c r="BS410" s="118"/>
      <c r="BU410" s="152">
        <v>44555</v>
      </c>
      <c r="BV410" s="37"/>
      <c r="BW410" s="118"/>
      <c r="BY410" s="152">
        <v>44555</v>
      </c>
      <c r="BZ410" s="37"/>
      <c r="CA410" s="118"/>
    </row>
    <row r="411" spans="1:79">
      <c r="A411" s="133">
        <v>44547</v>
      </c>
      <c r="C411" s="79"/>
      <c r="E411" s="117">
        <v>44541</v>
      </c>
      <c r="F411" s="37"/>
      <c r="G411" s="118"/>
      <c r="I411" s="119">
        <v>44533</v>
      </c>
      <c r="N411" s="119">
        <v>44526</v>
      </c>
      <c r="R411" s="79">
        <v>2</v>
      </c>
      <c r="S411" s="134"/>
      <c r="U411" s="156">
        <v>44547</v>
      </c>
      <c r="W411" s="79"/>
      <c r="Y411" s="119">
        <v>44547</v>
      </c>
      <c r="AA411" s="79"/>
      <c r="AC411" s="118">
        <v>44543</v>
      </c>
      <c r="AD411" s="79">
        <v>8</v>
      </c>
      <c r="AE411" s="79"/>
      <c r="AG411" s="80">
        <v>44538</v>
      </c>
      <c r="AH411" s="120">
        <v>4</v>
      </c>
      <c r="AI411" s="80"/>
      <c r="AK411" s="117">
        <v>44534</v>
      </c>
      <c r="AL411" s="37"/>
      <c r="AM411" s="148"/>
      <c r="AO411" s="152">
        <v>44556</v>
      </c>
      <c r="AP411" s="37"/>
      <c r="AQ411" s="118"/>
      <c r="AR411" s="119"/>
      <c r="AS411" s="152">
        <v>44556</v>
      </c>
      <c r="AT411" s="37"/>
      <c r="AU411" s="118"/>
      <c r="AW411" s="152">
        <v>44556</v>
      </c>
      <c r="AX411" s="37"/>
      <c r="AY411" s="118"/>
      <c r="BA411" s="152">
        <v>44556</v>
      </c>
      <c r="BB411" s="37"/>
      <c r="BC411" s="118"/>
      <c r="BE411" s="152">
        <v>44556</v>
      </c>
      <c r="BF411" s="37"/>
      <c r="BG411" s="118"/>
      <c r="BI411" s="152">
        <v>44556</v>
      </c>
      <c r="BJ411" s="37"/>
      <c r="BK411" s="118"/>
      <c r="BL411" s="119"/>
      <c r="BM411" s="152">
        <v>44556</v>
      </c>
      <c r="BN411" s="37"/>
      <c r="BO411" s="118"/>
      <c r="BQ411" s="152">
        <v>44556</v>
      </c>
      <c r="BR411" s="37"/>
      <c r="BS411" s="118"/>
      <c r="BU411" s="152">
        <v>44556</v>
      </c>
      <c r="BV411" s="37"/>
      <c r="BW411" s="118"/>
      <c r="BY411" s="152">
        <v>44556</v>
      </c>
      <c r="BZ411" s="37"/>
      <c r="CA411" s="118"/>
    </row>
    <row r="412" spans="1:79">
      <c r="A412" s="129">
        <v>44548</v>
      </c>
      <c r="B412" s="37"/>
      <c r="C412" s="79"/>
      <c r="E412" s="117">
        <v>44542</v>
      </c>
      <c r="F412" s="37"/>
      <c r="G412" s="118"/>
      <c r="I412" s="117">
        <v>44534</v>
      </c>
      <c r="J412" s="37"/>
      <c r="K412" s="37"/>
      <c r="N412" s="117">
        <v>44527</v>
      </c>
      <c r="O412" s="37"/>
      <c r="P412" s="37"/>
      <c r="R412" s="79">
        <v>3</v>
      </c>
      <c r="S412" s="134"/>
      <c r="U412" s="152">
        <v>44548</v>
      </c>
      <c r="V412" s="37"/>
      <c r="W412" s="79"/>
      <c r="Y412" s="117">
        <v>44548</v>
      </c>
      <c r="Z412" s="37"/>
      <c r="AA412" s="79"/>
      <c r="AC412" s="118">
        <v>44544</v>
      </c>
      <c r="AD412" s="79">
        <v>9</v>
      </c>
      <c r="AE412" s="79"/>
      <c r="AG412" s="80">
        <v>44539</v>
      </c>
      <c r="AH412" s="120">
        <v>5</v>
      </c>
      <c r="AI412" s="80"/>
      <c r="AK412" s="117">
        <v>44535</v>
      </c>
      <c r="AL412" s="37"/>
      <c r="AM412" s="148"/>
      <c r="AO412" s="152">
        <v>44557</v>
      </c>
      <c r="AP412" s="37"/>
      <c r="AQ412" s="118"/>
      <c r="AS412" s="152">
        <v>44557</v>
      </c>
      <c r="AT412" s="37"/>
      <c r="AU412" s="118"/>
      <c r="AW412" s="152">
        <v>44557</v>
      </c>
      <c r="AX412" s="37"/>
      <c r="AY412" s="118"/>
      <c r="BA412" s="152">
        <v>44557</v>
      </c>
      <c r="BB412" s="37"/>
      <c r="BC412" s="118"/>
      <c r="BE412" s="152">
        <v>44557</v>
      </c>
      <c r="BF412" s="37"/>
      <c r="BG412" s="118"/>
      <c r="BI412" s="152">
        <v>44557</v>
      </c>
      <c r="BJ412" s="37"/>
      <c r="BK412" s="118"/>
      <c r="BM412" s="152">
        <v>44557</v>
      </c>
      <c r="BN412" s="37"/>
      <c r="BO412" s="118"/>
      <c r="BQ412" s="152">
        <v>44557</v>
      </c>
      <c r="BR412" s="37"/>
      <c r="BS412" s="118"/>
      <c r="BU412" s="152">
        <v>44557</v>
      </c>
      <c r="BV412" s="37"/>
      <c r="BW412" s="118"/>
      <c r="BY412" s="152">
        <v>44557</v>
      </c>
      <c r="BZ412" s="37"/>
      <c r="CA412" s="118"/>
    </row>
    <row r="413" spans="1:79">
      <c r="A413" s="129">
        <v>44549</v>
      </c>
      <c r="B413" s="37"/>
      <c r="C413" s="79"/>
      <c r="E413" s="118">
        <v>44543</v>
      </c>
      <c r="F413" s="79">
        <v>3</v>
      </c>
      <c r="G413" s="118"/>
      <c r="I413" s="117">
        <v>44535</v>
      </c>
      <c r="J413" s="37"/>
      <c r="K413" s="37"/>
      <c r="L413" s="37"/>
      <c r="M413" s="37"/>
      <c r="N413" s="117">
        <v>44528</v>
      </c>
      <c r="O413" s="37"/>
      <c r="P413" s="37"/>
      <c r="R413" s="37"/>
      <c r="S413" s="130"/>
      <c r="U413" s="152">
        <v>44549</v>
      </c>
      <c r="V413" s="37"/>
      <c r="W413" s="79"/>
      <c r="Y413" s="117">
        <v>44549</v>
      </c>
      <c r="Z413" s="37"/>
      <c r="AA413" s="79"/>
      <c r="AC413" s="118">
        <v>44545</v>
      </c>
      <c r="AD413" s="79">
        <v>10</v>
      </c>
      <c r="AE413" s="79"/>
      <c r="AG413" s="119">
        <v>44540</v>
      </c>
      <c r="AI413" s="80"/>
      <c r="AK413" s="118">
        <v>44536</v>
      </c>
      <c r="AL413" s="120">
        <v>4</v>
      </c>
      <c r="AM413" s="163"/>
      <c r="AO413" s="152">
        <v>44558</v>
      </c>
      <c r="AP413" s="37"/>
      <c r="AQ413" s="118"/>
      <c r="AS413" s="152">
        <v>44558</v>
      </c>
      <c r="AT413" s="37"/>
      <c r="AU413" s="118"/>
      <c r="AW413" s="152">
        <v>44558</v>
      </c>
      <c r="AX413" s="37"/>
      <c r="AY413" s="118"/>
      <c r="BA413" s="152">
        <v>44558</v>
      </c>
      <c r="BB413" s="37"/>
      <c r="BC413" s="118"/>
      <c r="BE413" s="152">
        <v>44558</v>
      </c>
      <c r="BF413" s="37"/>
      <c r="BG413" s="118"/>
      <c r="BI413" s="152">
        <v>44558</v>
      </c>
      <c r="BJ413" s="37"/>
      <c r="BK413" s="118"/>
      <c r="BM413" s="152">
        <v>44558</v>
      </c>
      <c r="BN413" s="37"/>
      <c r="BO413" s="118"/>
      <c r="BQ413" s="152">
        <v>44558</v>
      </c>
      <c r="BR413" s="37"/>
      <c r="BS413" s="118"/>
      <c r="BU413" s="152">
        <v>44558</v>
      </c>
      <c r="BV413" s="37"/>
      <c r="BW413" s="118"/>
      <c r="BY413" s="152">
        <v>44558</v>
      </c>
      <c r="BZ413" s="37"/>
      <c r="CA413" s="118"/>
    </row>
    <row r="414" spans="1:79">
      <c r="A414" s="131">
        <v>44550</v>
      </c>
      <c r="B414" s="79">
        <v>2</v>
      </c>
      <c r="C414" s="79"/>
      <c r="E414" s="118">
        <v>44544</v>
      </c>
      <c r="F414" s="79">
        <v>4</v>
      </c>
      <c r="G414" s="118"/>
      <c r="I414" s="118">
        <v>44536</v>
      </c>
      <c r="J414" s="79">
        <v>1</v>
      </c>
      <c r="K414" s="118"/>
      <c r="L414" s="37"/>
      <c r="M414" s="37"/>
      <c r="N414" s="80">
        <v>44529</v>
      </c>
      <c r="O414" s="120">
        <v>2</v>
      </c>
      <c r="P414" s="120">
        <v>1</v>
      </c>
      <c r="R414" s="37"/>
      <c r="S414" s="130"/>
      <c r="U414" s="154">
        <v>44550</v>
      </c>
      <c r="V414" s="79">
        <v>2</v>
      </c>
      <c r="W414" s="79"/>
      <c r="Y414" s="118">
        <v>44550</v>
      </c>
      <c r="Z414" s="79">
        <v>3</v>
      </c>
      <c r="AA414" s="79"/>
      <c r="AC414" s="121" t="s">
        <v>85</v>
      </c>
      <c r="AD414" s="121">
        <f>COUNTA(AD392:AD413)</f>
        <v>10</v>
      </c>
      <c r="AE414" s="122">
        <f>IF(AD414&lt;=$U$45,1,AD414/$U$45)</f>
        <v>1</v>
      </c>
      <c r="AG414" s="117">
        <v>44541</v>
      </c>
      <c r="AH414" s="37"/>
      <c r="AI414" s="80"/>
      <c r="AK414" s="119">
        <v>44537</v>
      </c>
      <c r="AL414" s="120">
        <v>5</v>
      </c>
      <c r="AM414" s="163"/>
      <c r="AO414" s="152">
        <v>44559</v>
      </c>
      <c r="AP414" s="37"/>
      <c r="AQ414" s="118"/>
      <c r="AS414" s="152">
        <v>44559</v>
      </c>
      <c r="AT414" s="37"/>
      <c r="AU414" s="118"/>
      <c r="AW414" s="152">
        <v>44559</v>
      </c>
      <c r="AX414" s="37"/>
      <c r="AY414" s="118"/>
      <c r="BA414" s="152">
        <v>44559</v>
      </c>
      <c r="BB414" s="37"/>
      <c r="BC414" s="118"/>
      <c r="BE414" s="152">
        <v>44559</v>
      </c>
      <c r="BF414" s="37"/>
      <c r="BG414" s="118"/>
      <c r="BI414" s="152">
        <v>44559</v>
      </c>
      <c r="BJ414" s="37"/>
      <c r="BK414" s="118"/>
      <c r="BM414" s="152">
        <v>44559</v>
      </c>
      <c r="BN414" s="37"/>
      <c r="BO414" s="118"/>
      <c r="BQ414" s="152">
        <v>44559</v>
      </c>
      <c r="BR414" s="37"/>
      <c r="BS414" s="118"/>
      <c r="BU414" s="152">
        <v>44559</v>
      </c>
      <c r="BV414" s="37"/>
      <c r="BW414" s="118"/>
      <c r="BY414" s="152">
        <v>44559</v>
      </c>
      <c r="BZ414" s="37"/>
      <c r="CA414" s="118"/>
    </row>
    <row r="415" spans="1:79">
      <c r="A415" s="133">
        <v>44551</v>
      </c>
      <c r="C415" s="79"/>
      <c r="E415" s="119">
        <v>44545</v>
      </c>
      <c r="G415" s="118"/>
      <c r="I415" s="118">
        <v>44537</v>
      </c>
      <c r="J415" s="79">
        <v>2</v>
      </c>
      <c r="K415" s="118"/>
      <c r="N415" s="80">
        <v>44530</v>
      </c>
      <c r="O415" s="120">
        <v>3</v>
      </c>
      <c r="P415" s="120">
        <v>2</v>
      </c>
      <c r="R415" s="79">
        <v>4</v>
      </c>
      <c r="S415" s="134"/>
      <c r="U415" s="156">
        <v>44551</v>
      </c>
      <c r="W415" s="79"/>
      <c r="Y415" s="118">
        <v>44551</v>
      </c>
      <c r="Z415" s="79">
        <v>4</v>
      </c>
      <c r="AA415" s="79"/>
      <c r="AC415" s="119">
        <v>44546</v>
      </c>
      <c r="AG415" s="117">
        <v>44542</v>
      </c>
      <c r="AH415" s="37"/>
      <c r="AI415" s="80"/>
      <c r="AK415" s="119">
        <v>44538</v>
      </c>
      <c r="AL415" s="120">
        <v>6</v>
      </c>
      <c r="AM415" s="163"/>
      <c r="AO415" s="152">
        <v>44560</v>
      </c>
      <c r="AP415" s="37"/>
      <c r="AQ415" s="118"/>
      <c r="AS415" s="152">
        <v>44560</v>
      </c>
      <c r="AT415" s="37"/>
      <c r="AU415" s="118"/>
      <c r="AW415" s="152">
        <v>44560</v>
      </c>
      <c r="AX415" s="37"/>
      <c r="AY415" s="118"/>
      <c r="BA415" s="152">
        <v>44560</v>
      </c>
      <c r="BB415" s="37"/>
      <c r="BC415" s="118"/>
      <c r="BE415" s="152">
        <v>44560</v>
      </c>
      <c r="BF415" s="37"/>
      <c r="BG415" s="118"/>
      <c r="BI415" s="152">
        <v>44560</v>
      </c>
      <c r="BJ415" s="37"/>
      <c r="BK415" s="118"/>
      <c r="BM415" s="152">
        <v>44560</v>
      </c>
      <c r="BN415" s="37"/>
      <c r="BO415" s="118"/>
      <c r="BQ415" s="152">
        <v>44560</v>
      </c>
      <c r="BR415" s="37"/>
      <c r="BS415" s="118"/>
      <c r="BU415" s="152">
        <v>44560</v>
      </c>
      <c r="BV415" s="37"/>
      <c r="BW415" s="118"/>
      <c r="BY415" s="152">
        <v>44560</v>
      </c>
      <c r="BZ415" s="37"/>
      <c r="CA415" s="118"/>
    </row>
    <row r="416" spans="1:79">
      <c r="A416" s="133">
        <v>44552</v>
      </c>
      <c r="C416" s="79"/>
      <c r="E416" s="119">
        <v>44546</v>
      </c>
      <c r="G416" s="118"/>
      <c r="I416" s="118">
        <v>44538</v>
      </c>
      <c r="J416" s="79">
        <v>3</v>
      </c>
      <c r="K416" s="118"/>
      <c r="N416" s="80">
        <v>44531</v>
      </c>
      <c r="O416" s="120">
        <v>4</v>
      </c>
      <c r="P416" s="120">
        <v>3</v>
      </c>
      <c r="R416" s="79">
        <v>5</v>
      </c>
      <c r="S416" s="134"/>
      <c r="U416" s="156">
        <v>44552</v>
      </c>
      <c r="W416" s="79"/>
      <c r="Y416" s="119">
        <v>44552</v>
      </c>
      <c r="AA416" s="79"/>
      <c r="AC416" s="119">
        <v>44547</v>
      </c>
      <c r="AG416" s="80">
        <v>44543</v>
      </c>
      <c r="AH416" s="120">
        <v>6</v>
      </c>
      <c r="AI416" s="80"/>
      <c r="AK416" s="119">
        <v>44539</v>
      </c>
      <c r="AL416" s="120">
        <v>7</v>
      </c>
      <c r="AM416" s="163"/>
      <c r="AO416" s="152">
        <v>44561</v>
      </c>
      <c r="AP416" s="37"/>
      <c r="AQ416" s="118"/>
      <c r="AS416" s="152">
        <v>44561</v>
      </c>
      <c r="AT416" s="37"/>
      <c r="AU416" s="118"/>
      <c r="AW416" s="152">
        <v>44561</v>
      </c>
      <c r="AX416" s="37"/>
      <c r="AY416" s="118"/>
      <c r="BA416" s="152">
        <v>44561</v>
      </c>
      <c r="BB416" s="37"/>
      <c r="BC416" s="118"/>
      <c r="BE416" s="152">
        <v>44561</v>
      </c>
      <c r="BF416" s="37"/>
      <c r="BG416" s="118"/>
      <c r="BI416" s="152">
        <v>44561</v>
      </c>
      <c r="BJ416" s="37"/>
      <c r="BK416" s="118"/>
      <c r="BM416" s="152">
        <v>44561</v>
      </c>
      <c r="BN416" s="37"/>
      <c r="BO416" s="118"/>
      <c r="BQ416" s="152">
        <v>44561</v>
      </c>
      <c r="BR416" s="37"/>
      <c r="BS416" s="118"/>
      <c r="BU416" s="152">
        <v>44561</v>
      </c>
      <c r="BV416" s="37"/>
      <c r="BW416" s="118"/>
      <c r="BY416" s="152">
        <v>44561</v>
      </c>
      <c r="BZ416" s="37"/>
      <c r="CA416" s="118"/>
    </row>
    <row r="417" spans="1:79">
      <c r="A417" s="133">
        <v>44553</v>
      </c>
      <c r="C417" s="118"/>
      <c r="E417" s="119">
        <v>44547</v>
      </c>
      <c r="G417" s="118"/>
      <c r="I417" s="119">
        <v>44539</v>
      </c>
      <c r="K417" s="118"/>
      <c r="N417" s="80">
        <v>44532</v>
      </c>
      <c r="O417" s="120">
        <v>5</v>
      </c>
      <c r="P417" s="120">
        <v>4</v>
      </c>
      <c r="R417" s="79">
        <v>6</v>
      </c>
      <c r="S417" s="134"/>
      <c r="U417" s="156">
        <v>44553</v>
      </c>
      <c r="W417" s="118"/>
      <c r="Y417" s="119">
        <v>44553</v>
      </c>
      <c r="AA417" s="79"/>
      <c r="AC417" s="117">
        <v>44548</v>
      </c>
      <c r="AD417" s="37"/>
      <c r="AE417" s="37"/>
      <c r="AG417" s="80">
        <v>44544</v>
      </c>
      <c r="AH417" s="120">
        <v>7</v>
      </c>
      <c r="AI417" s="80"/>
      <c r="AK417" s="119">
        <v>44540</v>
      </c>
      <c r="AL417" s="120">
        <v>8</v>
      </c>
      <c r="AM417" s="148"/>
      <c r="AO417" s="152">
        <v>44562</v>
      </c>
      <c r="AP417" s="37"/>
      <c r="AQ417" s="118"/>
      <c r="AS417" s="152">
        <v>44562</v>
      </c>
      <c r="AT417" s="37"/>
      <c r="AU417" s="118"/>
      <c r="AW417" s="152">
        <v>44562</v>
      </c>
      <c r="AX417" s="37"/>
      <c r="AY417" s="118"/>
      <c r="BA417" s="152">
        <v>44562</v>
      </c>
      <c r="BB417" s="37"/>
      <c r="BC417" s="118"/>
      <c r="BE417" s="152">
        <v>44562</v>
      </c>
      <c r="BF417" s="37"/>
      <c r="BG417" s="118"/>
      <c r="BI417" s="152">
        <v>44562</v>
      </c>
      <c r="BJ417" s="37"/>
      <c r="BK417" s="118"/>
      <c r="BM417" s="152">
        <v>44562</v>
      </c>
      <c r="BN417" s="37"/>
      <c r="BO417" s="118"/>
      <c r="BQ417" s="152">
        <v>44562</v>
      </c>
      <c r="BR417" s="37"/>
      <c r="BS417" s="118"/>
      <c r="BU417" s="152">
        <v>44562</v>
      </c>
      <c r="BV417" s="37"/>
      <c r="BW417" s="118"/>
      <c r="BY417" s="152">
        <v>44562</v>
      </c>
      <c r="BZ417" s="37"/>
      <c r="CA417" s="118"/>
    </row>
    <row r="418" spans="1:79">
      <c r="A418" s="133">
        <v>44554</v>
      </c>
      <c r="C418" s="79"/>
      <c r="D418" s="119"/>
      <c r="E418" s="117">
        <v>44548</v>
      </c>
      <c r="F418" s="37"/>
      <c r="G418" s="118"/>
      <c r="H418" s="119"/>
      <c r="I418" s="119">
        <v>44540</v>
      </c>
      <c r="K418" s="118"/>
      <c r="L418" s="119"/>
      <c r="M418" s="119"/>
      <c r="N418" s="119">
        <v>44533</v>
      </c>
      <c r="Q418" s="119"/>
      <c r="R418" s="120">
        <v>1</v>
      </c>
      <c r="S418" s="135"/>
      <c r="U418" s="156">
        <v>44554</v>
      </c>
      <c r="W418" s="79"/>
      <c r="X418" s="119"/>
      <c r="Y418" s="119">
        <v>44554</v>
      </c>
      <c r="AA418" s="79"/>
      <c r="AC418" s="117">
        <v>44549</v>
      </c>
      <c r="AD418" s="37"/>
      <c r="AE418" s="37"/>
      <c r="AG418" s="80">
        <v>44545</v>
      </c>
      <c r="AH418" s="120">
        <v>8</v>
      </c>
      <c r="AI418" s="80"/>
      <c r="AK418" s="117">
        <v>44541</v>
      </c>
      <c r="AL418" s="37"/>
      <c r="AM418" s="148"/>
      <c r="AO418" s="152">
        <v>44563</v>
      </c>
      <c r="AP418" s="37"/>
      <c r="AQ418" s="118"/>
      <c r="AS418" s="152">
        <v>44563</v>
      </c>
      <c r="AT418" s="37"/>
      <c r="AU418" s="118"/>
      <c r="AW418" s="152">
        <v>44563</v>
      </c>
      <c r="AX418" s="37"/>
      <c r="AY418" s="118"/>
      <c r="BA418" s="152">
        <v>44563</v>
      </c>
      <c r="BB418" s="37"/>
      <c r="BC418" s="118"/>
      <c r="BE418" s="152">
        <v>44563</v>
      </c>
      <c r="BF418" s="37"/>
      <c r="BG418" s="118"/>
      <c r="BI418" s="152">
        <v>44563</v>
      </c>
      <c r="BJ418" s="37"/>
      <c r="BK418" s="118"/>
      <c r="BM418" s="152">
        <v>44563</v>
      </c>
      <c r="BN418" s="37"/>
      <c r="BO418" s="118"/>
      <c r="BQ418" s="152">
        <v>44563</v>
      </c>
      <c r="BR418" s="37"/>
      <c r="BS418" s="118"/>
      <c r="BU418" s="152">
        <v>44563</v>
      </c>
      <c r="BV418" s="37"/>
      <c r="BW418" s="118"/>
      <c r="BY418" s="152">
        <v>44563</v>
      </c>
      <c r="BZ418" s="37"/>
      <c r="CA418" s="118"/>
    </row>
    <row r="419" spans="1:79">
      <c r="A419" s="129">
        <v>44555</v>
      </c>
      <c r="B419" s="37"/>
      <c r="C419" s="79"/>
      <c r="E419" s="117">
        <v>44549</v>
      </c>
      <c r="F419" s="37"/>
      <c r="G419" s="118"/>
      <c r="I419" s="117">
        <v>44541</v>
      </c>
      <c r="J419" s="37"/>
      <c r="K419" s="118"/>
      <c r="N419" s="117">
        <v>44534</v>
      </c>
      <c r="O419" s="37"/>
      <c r="P419" s="37"/>
      <c r="R419" s="120">
        <v>2</v>
      </c>
      <c r="S419" s="125"/>
      <c r="U419" s="152">
        <v>44555</v>
      </c>
      <c r="V419" s="37"/>
      <c r="W419" s="79"/>
      <c r="Y419" s="117">
        <v>44555</v>
      </c>
      <c r="Z419" s="37"/>
      <c r="AA419" s="118"/>
      <c r="AC419" s="80">
        <v>44550</v>
      </c>
      <c r="AD419" s="120">
        <v>1</v>
      </c>
      <c r="AE419" s="80"/>
      <c r="AG419" s="80">
        <v>44546</v>
      </c>
      <c r="AH419" s="120">
        <v>9</v>
      </c>
      <c r="AI419" s="80"/>
      <c r="AK419" s="117">
        <v>44542</v>
      </c>
      <c r="AL419" s="37"/>
      <c r="AM419" s="148"/>
      <c r="AO419" s="154">
        <v>44564</v>
      </c>
      <c r="AP419" s="79">
        <v>51</v>
      </c>
      <c r="AQ419" s="118"/>
      <c r="AR419" s="119"/>
      <c r="AS419" s="154">
        <v>44564</v>
      </c>
      <c r="AT419" s="79">
        <v>103</v>
      </c>
      <c r="AU419" s="118"/>
      <c r="AW419" s="154">
        <v>44564</v>
      </c>
      <c r="AX419" s="79">
        <v>156</v>
      </c>
      <c r="AY419" s="118"/>
      <c r="BA419" s="154">
        <v>44564</v>
      </c>
      <c r="BB419" s="79">
        <v>205</v>
      </c>
      <c r="BC419" s="118"/>
      <c r="BE419" s="154">
        <v>44564</v>
      </c>
      <c r="BF419" s="79">
        <v>249</v>
      </c>
      <c r="BG419" s="118"/>
      <c r="BI419" s="154">
        <v>44564</v>
      </c>
      <c r="BJ419" s="79">
        <v>51</v>
      </c>
      <c r="BK419" s="118"/>
      <c r="BL419" s="119"/>
      <c r="BM419" s="154">
        <v>44564</v>
      </c>
      <c r="BN419" s="79">
        <v>103</v>
      </c>
      <c r="BO419" s="118"/>
      <c r="BQ419" s="154">
        <v>44564</v>
      </c>
      <c r="BR419" s="79">
        <v>156</v>
      </c>
      <c r="BS419" s="118"/>
      <c r="BU419" s="154">
        <v>44564</v>
      </c>
      <c r="BV419" s="79">
        <v>205</v>
      </c>
      <c r="BW419" s="118"/>
      <c r="BY419" s="154">
        <v>44564</v>
      </c>
      <c r="BZ419" s="79">
        <v>249</v>
      </c>
      <c r="CA419" s="118"/>
    </row>
    <row r="420" spans="1:79">
      <c r="A420" s="129">
        <v>44556</v>
      </c>
      <c r="B420" s="37"/>
      <c r="C420" s="79"/>
      <c r="E420" s="118">
        <v>44550</v>
      </c>
      <c r="F420" s="79">
        <v>5</v>
      </c>
      <c r="G420" s="118"/>
      <c r="I420" s="117">
        <v>44542</v>
      </c>
      <c r="J420" s="37"/>
      <c r="K420" s="118"/>
      <c r="L420" s="37"/>
      <c r="M420" s="37"/>
      <c r="N420" s="117">
        <v>44535</v>
      </c>
      <c r="O420" s="37"/>
      <c r="P420" s="37"/>
      <c r="R420" s="37"/>
      <c r="S420" s="130"/>
      <c r="U420" s="152">
        <v>44556</v>
      </c>
      <c r="V420" s="37"/>
      <c r="W420" s="79"/>
      <c r="Y420" s="117">
        <v>44556</v>
      </c>
      <c r="Z420" s="37"/>
      <c r="AA420" s="118"/>
      <c r="AC420" s="80">
        <v>44551</v>
      </c>
      <c r="AD420" s="120">
        <v>2</v>
      </c>
      <c r="AE420" s="120"/>
      <c r="AG420" s="119">
        <v>44547</v>
      </c>
      <c r="AI420" s="80"/>
      <c r="AK420" s="118">
        <v>44543</v>
      </c>
      <c r="AL420" s="120">
        <v>9</v>
      </c>
      <c r="AM420" s="163"/>
      <c r="AO420" s="147"/>
      <c r="BI420" s="147"/>
    </row>
    <row r="421" spans="1:79">
      <c r="A421" s="129">
        <v>44557</v>
      </c>
      <c r="B421" s="37"/>
      <c r="C421" s="79"/>
      <c r="E421" s="118">
        <v>44551</v>
      </c>
      <c r="F421" s="79">
        <v>6</v>
      </c>
      <c r="G421" s="118"/>
      <c r="I421" s="118">
        <v>44543</v>
      </c>
      <c r="J421" s="79">
        <v>4</v>
      </c>
      <c r="K421" s="118"/>
      <c r="L421" s="37"/>
      <c r="M421" s="37"/>
      <c r="N421" s="80">
        <v>44536</v>
      </c>
      <c r="O421" s="120">
        <v>6</v>
      </c>
      <c r="P421" s="120">
        <v>1</v>
      </c>
      <c r="R421" s="37"/>
      <c r="S421" s="130"/>
      <c r="U421" s="152">
        <v>44557</v>
      </c>
      <c r="V421" s="37"/>
      <c r="W421" s="79"/>
      <c r="Y421" s="117">
        <v>44557</v>
      </c>
      <c r="Z421" s="37"/>
      <c r="AA421" s="118"/>
      <c r="AC421" s="80">
        <v>44552</v>
      </c>
      <c r="AD421" s="120">
        <v>3</v>
      </c>
      <c r="AE421" s="120"/>
      <c r="AG421" s="117">
        <v>44548</v>
      </c>
      <c r="AH421" s="37"/>
      <c r="AI421" s="80"/>
      <c r="AK421" s="119">
        <v>44544</v>
      </c>
      <c r="AL421" s="120">
        <v>10</v>
      </c>
      <c r="AM421" s="163"/>
      <c r="AO421" s="147"/>
      <c r="BI421" s="147"/>
    </row>
    <row r="422" spans="1:79">
      <c r="A422" s="129">
        <v>44558</v>
      </c>
      <c r="B422" s="37"/>
      <c r="C422" s="79"/>
      <c r="E422" s="121" t="s">
        <v>85</v>
      </c>
      <c r="F422" s="121">
        <f>COUNTA(F406:F421)</f>
        <v>6</v>
      </c>
      <c r="G422" s="122">
        <f>IF(F422&lt;=$A$45,1,F422/$A$45)</f>
        <v>1</v>
      </c>
      <c r="I422" s="118">
        <v>44544</v>
      </c>
      <c r="J422" s="79">
        <v>5</v>
      </c>
      <c r="K422" s="118"/>
      <c r="L422" s="37"/>
      <c r="M422" s="37"/>
      <c r="N422" s="121" t="s">
        <v>85</v>
      </c>
      <c r="O422" s="121">
        <f>COUNTA(O410:O421)</f>
        <v>6</v>
      </c>
      <c r="P422" s="122">
        <f>IF(O422&lt;=$A$45,1,O422/$A$45)</f>
        <v>1</v>
      </c>
      <c r="R422" s="37"/>
      <c r="S422" s="130"/>
      <c r="U422" s="152">
        <v>44558</v>
      </c>
      <c r="V422" s="37"/>
      <c r="W422" s="79"/>
      <c r="Y422" s="117">
        <v>44558</v>
      </c>
      <c r="Z422" s="37"/>
      <c r="AA422" s="118"/>
      <c r="AC422" s="119">
        <v>44553</v>
      </c>
      <c r="AE422" s="120"/>
      <c r="AG422" s="117">
        <v>44549</v>
      </c>
      <c r="AH422" s="37"/>
      <c r="AI422" s="80"/>
      <c r="AK422" s="121" t="s">
        <v>85</v>
      </c>
      <c r="AL422" s="121">
        <f>COUNTA(AL408:AL421)</f>
        <v>10</v>
      </c>
      <c r="AM422" s="158">
        <f>IF(AL422&lt;=$U$45,1,AL422/$U$45)</f>
        <v>1</v>
      </c>
      <c r="AO422" s="147"/>
      <c r="BI422" s="147"/>
    </row>
    <row r="423" spans="1:79">
      <c r="A423" s="129">
        <v>44559</v>
      </c>
      <c r="B423" s="37"/>
      <c r="C423" s="79"/>
      <c r="E423" s="119">
        <v>44552</v>
      </c>
      <c r="I423" s="118">
        <v>44545</v>
      </c>
      <c r="J423" s="79">
        <v>6</v>
      </c>
      <c r="K423" s="118"/>
      <c r="L423" s="37"/>
      <c r="M423" s="37"/>
      <c r="N423" s="118">
        <v>44537</v>
      </c>
      <c r="O423" s="79">
        <v>1</v>
      </c>
      <c r="P423" s="79">
        <v>2</v>
      </c>
      <c r="R423" s="37"/>
      <c r="S423" s="130"/>
      <c r="U423" s="152">
        <v>44559</v>
      </c>
      <c r="V423" s="37"/>
      <c r="W423" s="79"/>
      <c r="Y423" s="117">
        <v>44559</v>
      </c>
      <c r="Z423" s="37"/>
      <c r="AA423" s="118"/>
      <c r="AC423" s="119">
        <v>44554</v>
      </c>
      <c r="AE423" s="120"/>
      <c r="AG423" s="80">
        <v>44550</v>
      </c>
      <c r="AH423" s="120">
        <v>10</v>
      </c>
      <c r="AI423" s="80"/>
      <c r="AK423" s="119">
        <v>44545</v>
      </c>
      <c r="AL423" s="120">
        <v>1</v>
      </c>
      <c r="AM423" s="163"/>
      <c r="AO423" s="147"/>
      <c r="BI423" s="147"/>
    </row>
    <row r="424" spans="1:79">
      <c r="A424" s="129">
        <v>44560</v>
      </c>
      <c r="B424" s="37"/>
      <c r="C424" s="79"/>
      <c r="E424" s="119">
        <v>44553</v>
      </c>
      <c r="I424" s="121" t="s">
        <v>85</v>
      </c>
      <c r="J424" s="121">
        <f>COUNTA(J414:J423)</f>
        <v>6</v>
      </c>
      <c r="K424" s="122">
        <f>IF(J424&lt;=$A$45,1,J424/$A$45)</f>
        <v>1</v>
      </c>
      <c r="L424" s="37"/>
      <c r="M424" s="37"/>
      <c r="N424" s="118">
        <v>44538</v>
      </c>
      <c r="O424" s="79">
        <v>2</v>
      </c>
      <c r="P424" s="79">
        <v>3</v>
      </c>
      <c r="R424" s="37"/>
      <c r="S424" s="130"/>
      <c r="U424" s="152">
        <v>44560</v>
      </c>
      <c r="V424" s="37"/>
      <c r="W424" s="79"/>
      <c r="Y424" s="117">
        <v>44560</v>
      </c>
      <c r="Z424" s="37"/>
      <c r="AA424" s="118"/>
      <c r="AC424" s="117">
        <v>44555</v>
      </c>
      <c r="AD424" s="37"/>
      <c r="AE424" s="120"/>
      <c r="AG424" s="121" t="s">
        <v>85</v>
      </c>
      <c r="AH424" s="121">
        <f>COUNTA(AH406:AH423)</f>
        <v>10</v>
      </c>
      <c r="AI424" s="122">
        <f>IF(AH424&lt;=$U$45,1,AH424/$U$45)</f>
        <v>1</v>
      </c>
      <c r="AK424" s="119">
        <v>44546</v>
      </c>
      <c r="AL424" s="120">
        <v>2</v>
      </c>
      <c r="AM424" s="163"/>
      <c r="AO424" s="147"/>
      <c r="BI424" s="147"/>
    </row>
    <row r="425" spans="1:79">
      <c r="A425" s="129">
        <v>44561</v>
      </c>
      <c r="B425" s="37"/>
      <c r="C425" s="79"/>
      <c r="E425" s="119">
        <v>44554</v>
      </c>
      <c r="I425" s="119">
        <v>44546</v>
      </c>
      <c r="L425" s="37"/>
      <c r="M425" s="37"/>
      <c r="N425" s="118">
        <v>44539</v>
      </c>
      <c r="O425" s="79">
        <v>3</v>
      </c>
      <c r="P425" s="79">
        <v>4</v>
      </c>
      <c r="R425" s="37"/>
      <c r="S425" s="130"/>
      <c r="U425" s="152">
        <v>44561</v>
      </c>
      <c r="V425" s="37"/>
      <c r="W425" s="79"/>
      <c r="Y425" s="117">
        <v>44561</v>
      </c>
      <c r="Z425" s="37"/>
      <c r="AA425" s="118"/>
      <c r="AC425" s="117">
        <v>44556</v>
      </c>
      <c r="AD425" s="37"/>
      <c r="AE425" s="120"/>
      <c r="AG425" s="118">
        <v>44551</v>
      </c>
      <c r="AH425" s="79">
        <v>1</v>
      </c>
      <c r="AI425" s="79"/>
      <c r="AK425" s="119">
        <v>44547</v>
      </c>
      <c r="AL425" s="120">
        <v>3</v>
      </c>
      <c r="AM425" s="148"/>
      <c r="AO425" s="147"/>
      <c r="BI425" s="147"/>
    </row>
    <row r="426" spans="1:79">
      <c r="A426" s="129">
        <v>44562</v>
      </c>
      <c r="B426" s="37"/>
      <c r="C426" s="79"/>
      <c r="E426" s="117">
        <v>44555</v>
      </c>
      <c r="F426" s="37"/>
      <c r="G426" s="37"/>
      <c r="I426" s="119">
        <v>44547</v>
      </c>
      <c r="L426" s="37"/>
      <c r="M426" s="37"/>
      <c r="N426" s="119">
        <v>44540</v>
      </c>
      <c r="R426" s="37"/>
      <c r="S426" s="130"/>
      <c r="U426" s="152">
        <v>44562</v>
      </c>
      <c r="V426" s="37"/>
      <c r="W426" s="79"/>
      <c r="Y426" s="117">
        <v>44562</v>
      </c>
      <c r="Z426" s="37"/>
      <c r="AA426" s="118"/>
      <c r="AC426" s="117">
        <v>44557</v>
      </c>
      <c r="AD426" s="37"/>
      <c r="AE426" s="120"/>
      <c r="AG426" s="118">
        <v>44552</v>
      </c>
      <c r="AH426" s="79">
        <v>2</v>
      </c>
      <c r="AI426" s="79"/>
      <c r="AK426" s="117">
        <v>44548</v>
      </c>
      <c r="AL426" s="37"/>
      <c r="AM426" s="148"/>
      <c r="AO426" s="147"/>
      <c r="BI426" s="147"/>
    </row>
    <row r="427" spans="1:79">
      <c r="A427" s="129">
        <v>44563</v>
      </c>
      <c r="B427" s="37"/>
      <c r="C427" s="79"/>
      <c r="E427" s="117">
        <v>44556</v>
      </c>
      <c r="F427" s="37"/>
      <c r="G427" s="37"/>
      <c r="I427" s="117">
        <v>44548</v>
      </c>
      <c r="J427" s="37"/>
      <c r="K427" s="37"/>
      <c r="L427" s="37"/>
      <c r="M427" s="37"/>
      <c r="N427" s="117">
        <v>44541</v>
      </c>
      <c r="O427" s="37"/>
      <c r="P427" s="37"/>
      <c r="R427" s="37"/>
      <c r="S427" s="130"/>
      <c r="U427" s="152">
        <v>44563</v>
      </c>
      <c r="V427" s="37"/>
      <c r="W427" s="79"/>
      <c r="Y427" s="117">
        <v>44563</v>
      </c>
      <c r="Z427" s="37"/>
      <c r="AA427" s="118"/>
      <c r="AC427" s="117">
        <v>44558</v>
      </c>
      <c r="AD427" s="37"/>
      <c r="AE427" s="120"/>
      <c r="AG427" s="118">
        <v>44553</v>
      </c>
      <c r="AH427" s="79">
        <v>3</v>
      </c>
      <c r="AI427" s="79"/>
      <c r="AK427" s="117">
        <v>44549</v>
      </c>
      <c r="AL427" s="37"/>
      <c r="AM427" s="148"/>
      <c r="AO427" s="147"/>
      <c r="BI427" s="147"/>
    </row>
    <row r="428" spans="1:79">
      <c r="A428" s="131">
        <v>44564</v>
      </c>
      <c r="B428" s="79">
        <v>3</v>
      </c>
      <c r="C428" s="79"/>
      <c r="E428" s="117">
        <v>44557</v>
      </c>
      <c r="F428" s="37"/>
      <c r="G428" s="37"/>
      <c r="I428" s="117">
        <v>44549</v>
      </c>
      <c r="J428" s="37"/>
      <c r="K428" s="37"/>
      <c r="L428" s="37"/>
      <c r="M428" s="37"/>
      <c r="N428" s="117">
        <v>44542</v>
      </c>
      <c r="O428" s="37"/>
      <c r="P428" s="37"/>
      <c r="R428" s="37"/>
      <c r="S428" s="130"/>
      <c r="U428" s="154">
        <v>44564</v>
      </c>
      <c r="V428" s="79">
        <v>3</v>
      </c>
      <c r="W428" s="79"/>
      <c r="Y428" s="118">
        <v>44564</v>
      </c>
      <c r="Z428" s="79">
        <v>5</v>
      </c>
      <c r="AA428" s="79"/>
      <c r="AC428" s="117">
        <v>44559</v>
      </c>
      <c r="AD428" s="37"/>
      <c r="AE428" s="120"/>
      <c r="AG428" s="118">
        <v>44554</v>
      </c>
      <c r="AH428" s="79">
        <v>4</v>
      </c>
      <c r="AI428" s="79"/>
      <c r="AK428" s="118">
        <v>44550</v>
      </c>
      <c r="AL428" s="120">
        <v>4</v>
      </c>
      <c r="AM428" s="163"/>
      <c r="AO428" s="147"/>
      <c r="BI428" s="147"/>
    </row>
    <row r="429" spans="1:79">
      <c r="A429" s="136" t="s">
        <v>85</v>
      </c>
      <c r="B429" s="121">
        <f>COUNTA(B407:B428)</f>
        <v>3</v>
      </c>
      <c r="C429" s="121">
        <f>$B429/$A$45</f>
        <v>0.5</v>
      </c>
      <c r="E429" s="117">
        <v>44558</v>
      </c>
      <c r="F429" s="37"/>
      <c r="G429" s="37"/>
      <c r="I429" s="80">
        <v>44550</v>
      </c>
      <c r="J429" s="120">
        <v>1</v>
      </c>
      <c r="K429" s="80"/>
      <c r="L429" s="119"/>
      <c r="M429" s="119"/>
      <c r="N429" s="118">
        <v>44543</v>
      </c>
      <c r="O429" s="79">
        <v>4</v>
      </c>
      <c r="P429" s="79">
        <v>1</v>
      </c>
      <c r="R429" s="120">
        <v>3</v>
      </c>
      <c r="S429" s="125"/>
      <c r="U429" s="160" t="s">
        <v>85</v>
      </c>
      <c r="V429" s="121">
        <f>COUNTA(V402:V428)</f>
        <v>3</v>
      </c>
      <c r="W429" s="122">
        <f>V429/$U$45</f>
        <v>0.3</v>
      </c>
      <c r="Y429" s="121" t="s">
        <v>85</v>
      </c>
      <c r="Z429" s="121">
        <f>COUNTA(Z407:Z428)</f>
        <v>5</v>
      </c>
      <c r="AA429" s="122">
        <f>Z429/$U$45</f>
        <v>0.5</v>
      </c>
      <c r="AC429" s="117">
        <v>44560</v>
      </c>
      <c r="AD429" s="37"/>
      <c r="AE429" s="120"/>
      <c r="AG429" s="117">
        <v>44555</v>
      </c>
      <c r="AH429" s="37"/>
      <c r="AI429" s="118"/>
      <c r="AK429" s="119">
        <v>44551</v>
      </c>
      <c r="AL429" s="120">
        <v>5</v>
      </c>
      <c r="AM429" s="163"/>
      <c r="AO429" s="147"/>
      <c r="BI429" s="147"/>
    </row>
    <row r="430" spans="1:79">
      <c r="A430" s="124"/>
      <c r="D430" s="72"/>
      <c r="E430" s="117">
        <v>44559</v>
      </c>
      <c r="F430" s="37"/>
      <c r="G430" s="37"/>
      <c r="H430" s="72"/>
      <c r="I430" s="80">
        <v>44551</v>
      </c>
      <c r="J430" s="120">
        <v>2</v>
      </c>
      <c r="K430" s="120"/>
      <c r="L430" s="122"/>
      <c r="M430" s="122"/>
      <c r="N430" s="118">
        <v>44544</v>
      </c>
      <c r="O430" s="79">
        <v>5</v>
      </c>
      <c r="P430" s="79">
        <v>2</v>
      </c>
      <c r="Q430" s="72"/>
      <c r="R430" s="121">
        <f>COUNTA(R399:R429)</f>
        <v>16</v>
      </c>
      <c r="S430" s="137">
        <f>IF(R430&lt;=$A$45,1,R430/$A$45)</f>
        <v>2.6666666666666665</v>
      </c>
      <c r="U430" s="147"/>
      <c r="X430" s="72"/>
      <c r="AC430" s="117">
        <v>44561</v>
      </c>
      <c r="AD430" s="37"/>
      <c r="AE430" s="120"/>
      <c r="AG430" s="117">
        <v>44556</v>
      </c>
      <c r="AH430" s="37"/>
      <c r="AI430" s="118"/>
      <c r="AK430" s="119">
        <v>44552</v>
      </c>
      <c r="AL430" s="79">
        <v>6</v>
      </c>
      <c r="AM430" s="149"/>
      <c r="AO430" s="147"/>
      <c r="BI430" s="147"/>
    </row>
    <row r="431" spans="1:79">
      <c r="A431" s="124"/>
      <c r="E431" s="117">
        <v>44560</v>
      </c>
      <c r="F431" s="37"/>
      <c r="G431" s="37"/>
      <c r="I431" s="80">
        <v>44552</v>
      </c>
      <c r="J431" s="120">
        <v>3</v>
      </c>
      <c r="K431" s="120"/>
      <c r="N431" s="118">
        <v>44545</v>
      </c>
      <c r="O431" s="79">
        <v>6</v>
      </c>
      <c r="P431" s="79">
        <v>3</v>
      </c>
      <c r="S431" s="125"/>
      <c r="U431" s="147"/>
      <c r="AC431" s="117">
        <v>44562</v>
      </c>
      <c r="AD431" s="37"/>
      <c r="AE431" s="120"/>
      <c r="AG431" s="117">
        <v>44557</v>
      </c>
      <c r="AH431" s="37"/>
      <c r="AI431" s="118"/>
      <c r="AK431" s="119">
        <v>44553</v>
      </c>
      <c r="AL431" s="79">
        <v>7</v>
      </c>
      <c r="AM431" s="149"/>
      <c r="AO431" s="147"/>
      <c r="AR431" s="72"/>
      <c r="BI431" s="147"/>
      <c r="BL431" s="72"/>
    </row>
    <row r="432" spans="1:79">
      <c r="A432" s="124"/>
      <c r="E432" s="117">
        <v>44561</v>
      </c>
      <c r="F432" s="37"/>
      <c r="G432" s="37"/>
      <c r="I432" s="119">
        <v>44553</v>
      </c>
      <c r="K432" s="120"/>
      <c r="N432" s="121" t="s">
        <v>85</v>
      </c>
      <c r="O432" s="121">
        <f>COUNTA(O423:O431)</f>
        <v>6</v>
      </c>
      <c r="P432" s="122">
        <f>IF(O432&lt;=$A$45,1,O432/$A$45)</f>
        <v>1</v>
      </c>
      <c r="S432" s="125"/>
      <c r="U432" s="147"/>
      <c r="AC432" s="117">
        <v>44563</v>
      </c>
      <c r="AD432" s="37"/>
      <c r="AE432" s="120"/>
      <c r="AG432" s="117">
        <v>44558</v>
      </c>
      <c r="AH432" s="37"/>
      <c r="AI432" s="118"/>
      <c r="AK432" s="119">
        <v>44554</v>
      </c>
      <c r="AL432" s="79">
        <v>8</v>
      </c>
      <c r="AM432" s="149"/>
      <c r="AO432" s="147"/>
      <c r="BI432" s="147"/>
    </row>
    <row r="433" spans="1:64" ht="15.75" thickBot="1">
      <c r="A433" s="124"/>
      <c r="E433" s="117">
        <v>44562</v>
      </c>
      <c r="F433" s="37"/>
      <c r="G433" s="37"/>
      <c r="I433" s="119">
        <v>44554</v>
      </c>
      <c r="K433" s="120"/>
      <c r="N433" s="80">
        <v>44546</v>
      </c>
      <c r="O433" s="120">
        <v>1</v>
      </c>
      <c r="P433" s="120">
        <v>4</v>
      </c>
      <c r="S433" s="125"/>
      <c r="U433" s="147"/>
      <c r="AC433" s="80">
        <v>44564</v>
      </c>
      <c r="AD433" s="120">
        <v>4</v>
      </c>
      <c r="AE433" s="120"/>
      <c r="AG433" s="117">
        <v>44559</v>
      </c>
      <c r="AH433" s="37"/>
      <c r="AI433" s="118"/>
      <c r="AK433" s="117">
        <v>44555</v>
      </c>
      <c r="AL433" s="37"/>
      <c r="AM433" s="148"/>
      <c r="AO433" s="164"/>
      <c r="AP433" s="165"/>
      <c r="AQ433" s="165"/>
      <c r="BI433" s="164"/>
      <c r="BJ433" s="165"/>
      <c r="BK433" s="165"/>
    </row>
    <row r="434" spans="1:64">
      <c r="A434" s="124"/>
      <c r="E434" s="117">
        <v>44563</v>
      </c>
      <c r="F434" s="37"/>
      <c r="G434" s="37"/>
      <c r="I434" s="117">
        <v>44555</v>
      </c>
      <c r="J434" s="37"/>
      <c r="K434" s="120"/>
      <c r="N434" s="119">
        <v>44547</v>
      </c>
      <c r="S434" s="125"/>
      <c r="U434" s="147"/>
      <c r="AC434" s="121" t="s">
        <v>85</v>
      </c>
      <c r="AD434" s="121">
        <f>COUNTA(AD419:AD433)</f>
        <v>4</v>
      </c>
      <c r="AE434" s="122">
        <f>AD434/$U$45</f>
        <v>0.4</v>
      </c>
      <c r="AG434" s="117">
        <v>44560</v>
      </c>
      <c r="AH434" s="37"/>
      <c r="AI434" s="118"/>
      <c r="AK434" s="117">
        <v>44556</v>
      </c>
      <c r="AL434" s="37"/>
      <c r="AM434" s="148"/>
    </row>
    <row r="435" spans="1:64">
      <c r="A435" s="124"/>
      <c r="E435" s="80">
        <v>44564</v>
      </c>
      <c r="F435" s="120">
        <v>1</v>
      </c>
      <c r="G435" s="120"/>
      <c r="I435" s="117">
        <v>44556</v>
      </c>
      <c r="J435" s="37"/>
      <c r="K435" s="120"/>
      <c r="N435" s="117">
        <v>44548</v>
      </c>
      <c r="O435" s="37"/>
      <c r="P435" s="37"/>
      <c r="S435" s="125"/>
      <c r="U435" s="147"/>
      <c r="AG435" s="117">
        <v>44561</v>
      </c>
      <c r="AH435" s="37"/>
      <c r="AI435" s="118"/>
      <c r="AK435" s="117">
        <v>44557</v>
      </c>
      <c r="AL435" s="37"/>
      <c r="AM435" s="148"/>
    </row>
    <row r="436" spans="1:64">
      <c r="A436" s="124"/>
      <c r="E436" s="121" t="s">
        <v>85</v>
      </c>
      <c r="F436" s="121">
        <f>COUNTA(F435)</f>
        <v>1</v>
      </c>
      <c r="G436" s="122">
        <f>$F436/$A$45</f>
        <v>0.16666666666666666</v>
      </c>
      <c r="I436" s="117">
        <v>44557</v>
      </c>
      <c r="J436" s="37"/>
      <c r="K436" s="120"/>
      <c r="N436" s="117">
        <v>44549</v>
      </c>
      <c r="O436" s="37"/>
      <c r="P436" s="37"/>
      <c r="S436" s="125"/>
      <c r="U436" s="147"/>
      <c r="AG436" s="117">
        <v>44562</v>
      </c>
      <c r="AH436" s="37"/>
      <c r="AI436" s="118"/>
      <c r="AK436" s="117">
        <v>44558</v>
      </c>
      <c r="AL436" s="37"/>
      <c r="AM436" s="148"/>
    </row>
    <row r="437" spans="1:64">
      <c r="A437" s="124"/>
      <c r="I437" s="117">
        <v>44558</v>
      </c>
      <c r="J437" s="37"/>
      <c r="K437" s="120"/>
      <c r="N437" s="80">
        <v>44550</v>
      </c>
      <c r="O437" s="120">
        <v>2</v>
      </c>
      <c r="P437" s="120">
        <v>1</v>
      </c>
      <c r="S437" s="125"/>
      <c r="U437" s="147"/>
      <c r="AG437" s="117">
        <v>44563</v>
      </c>
      <c r="AH437" s="37"/>
      <c r="AI437" s="118"/>
      <c r="AK437" s="117">
        <v>44559</v>
      </c>
      <c r="AL437" s="37"/>
      <c r="AM437" s="148"/>
    </row>
    <row r="438" spans="1:64">
      <c r="A438" s="124"/>
      <c r="I438" s="117">
        <v>44559</v>
      </c>
      <c r="J438" s="37"/>
      <c r="K438" s="120"/>
      <c r="N438" s="80">
        <v>44551</v>
      </c>
      <c r="O438" s="120">
        <v>3</v>
      </c>
      <c r="P438" s="120">
        <v>2</v>
      </c>
      <c r="S438" s="125"/>
      <c r="U438" s="147"/>
      <c r="AG438" s="118">
        <v>44564</v>
      </c>
      <c r="AH438" s="79">
        <v>5</v>
      </c>
      <c r="AI438" s="79"/>
      <c r="AK438" s="117">
        <v>44560</v>
      </c>
      <c r="AL438" s="37"/>
      <c r="AM438" s="148"/>
    </row>
    <row r="439" spans="1:64">
      <c r="A439" s="124"/>
      <c r="I439" s="117">
        <v>44560</v>
      </c>
      <c r="J439" s="37"/>
      <c r="K439" s="120"/>
      <c r="N439" s="80">
        <v>44552</v>
      </c>
      <c r="O439" s="120">
        <v>4</v>
      </c>
      <c r="P439" s="120">
        <v>3</v>
      </c>
      <c r="S439" s="125"/>
      <c r="U439" s="147"/>
      <c r="AG439" s="121" t="s">
        <v>85</v>
      </c>
      <c r="AH439" s="121">
        <f>COUNTA(AH425:AH438)</f>
        <v>5</v>
      </c>
      <c r="AI439" s="122">
        <f>AH439/$U$45</f>
        <v>0.5</v>
      </c>
      <c r="AK439" s="117">
        <v>44561</v>
      </c>
      <c r="AL439" s="37"/>
      <c r="AM439" s="148"/>
    </row>
    <row r="440" spans="1:64">
      <c r="A440" s="124"/>
      <c r="I440" s="117">
        <v>44561</v>
      </c>
      <c r="J440" s="37"/>
      <c r="K440" s="120"/>
      <c r="N440" s="80">
        <v>44553</v>
      </c>
      <c r="O440" s="120">
        <v>5</v>
      </c>
      <c r="P440" s="120">
        <v>4</v>
      </c>
      <c r="S440" s="125"/>
      <c r="U440" s="147"/>
      <c r="AK440" s="117">
        <v>44562</v>
      </c>
      <c r="AL440" s="37"/>
      <c r="AM440" s="148"/>
    </row>
    <row r="441" spans="1:64">
      <c r="A441" s="124"/>
      <c r="I441" s="117">
        <v>44562</v>
      </c>
      <c r="J441" s="37"/>
      <c r="K441" s="120"/>
      <c r="N441" s="119">
        <v>44554</v>
      </c>
      <c r="S441" s="125"/>
      <c r="U441" s="147"/>
      <c r="AK441" s="117">
        <v>44563</v>
      </c>
      <c r="AL441" s="37"/>
      <c r="AM441" s="148"/>
    </row>
    <row r="442" spans="1:64">
      <c r="A442" s="124"/>
      <c r="I442" s="117">
        <v>44563</v>
      </c>
      <c r="J442" s="37"/>
      <c r="K442" s="120"/>
      <c r="N442" s="117">
        <v>44555</v>
      </c>
      <c r="O442" s="37"/>
      <c r="P442" s="37"/>
      <c r="S442" s="125"/>
      <c r="U442" s="147"/>
      <c r="AK442" s="118">
        <v>44564</v>
      </c>
      <c r="AL442" s="79">
        <v>9</v>
      </c>
      <c r="AM442" s="149"/>
    </row>
    <row r="443" spans="1:64" ht="15.75" thickBot="1">
      <c r="A443" s="124"/>
      <c r="I443" s="80">
        <v>44564</v>
      </c>
      <c r="J443" s="120">
        <v>4</v>
      </c>
      <c r="K443" s="120"/>
      <c r="N443" s="117">
        <v>44556</v>
      </c>
      <c r="O443" s="37"/>
      <c r="P443" s="37"/>
      <c r="S443" s="125"/>
      <c r="U443" s="164"/>
      <c r="V443" s="165"/>
      <c r="W443" s="165"/>
      <c r="X443" s="165"/>
      <c r="Y443" s="165"/>
      <c r="Z443" s="165"/>
      <c r="AA443" s="165"/>
      <c r="AB443" s="165"/>
      <c r="AC443" s="165"/>
      <c r="AD443" s="165"/>
      <c r="AE443" s="165"/>
      <c r="AF443" s="165"/>
      <c r="AG443" s="165"/>
      <c r="AH443" s="165"/>
      <c r="AI443" s="165"/>
      <c r="AJ443" s="165"/>
      <c r="AK443" s="166" t="s">
        <v>85</v>
      </c>
      <c r="AL443" s="166">
        <f>COUNTA(AL423:AL442)</f>
        <v>9</v>
      </c>
      <c r="AM443" s="167">
        <f>AL443/$U$45</f>
        <v>0.9</v>
      </c>
    </row>
    <row r="444" spans="1:64" ht="15.75" thickBot="1">
      <c r="A444" s="124"/>
      <c r="J444" s="121">
        <f>COUNTA(J429:J443)</f>
        <v>4</v>
      </c>
      <c r="K444" s="122">
        <f>$J444/$A$45</f>
        <v>0.66666666666666663</v>
      </c>
      <c r="N444" s="117">
        <v>44557</v>
      </c>
      <c r="O444" s="37"/>
      <c r="P444" s="37"/>
      <c r="S444" s="125"/>
      <c r="AR444" s="165"/>
      <c r="BL444" s="165"/>
    </row>
    <row r="445" spans="1:64">
      <c r="A445" s="124"/>
      <c r="N445" s="117">
        <v>44558</v>
      </c>
      <c r="O445" s="37"/>
      <c r="P445" s="37"/>
      <c r="S445" s="125"/>
    </row>
    <row r="446" spans="1:64">
      <c r="A446" s="124"/>
      <c r="N446" s="117">
        <v>44559</v>
      </c>
      <c r="O446" s="37"/>
      <c r="P446" s="37"/>
      <c r="S446" s="125"/>
    </row>
    <row r="447" spans="1:64">
      <c r="A447" s="124"/>
      <c r="N447" s="117">
        <v>44560</v>
      </c>
      <c r="O447" s="37"/>
      <c r="P447" s="37"/>
      <c r="S447" s="125"/>
    </row>
    <row r="448" spans="1:64">
      <c r="A448" s="124"/>
      <c r="N448" s="117">
        <v>44561</v>
      </c>
      <c r="O448" s="37"/>
      <c r="P448" s="37"/>
      <c r="S448" s="125"/>
    </row>
    <row r="449" spans="1:19">
      <c r="A449" s="124"/>
      <c r="N449" s="117">
        <v>44562</v>
      </c>
      <c r="O449" s="37"/>
      <c r="P449" s="37"/>
      <c r="S449" s="125"/>
    </row>
    <row r="450" spans="1:19">
      <c r="A450" s="124"/>
      <c r="N450" s="117">
        <v>44563</v>
      </c>
      <c r="O450" s="37"/>
      <c r="P450" s="37"/>
      <c r="S450" s="125"/>
    </row>
    <row r="451" spans="1:19" ht="15.75" thickBot="1">
      <c r="A451" s="141"/>
      <c r="B451" s="142"/>
      <c r="C451" s="142"/>
      <c r="D451" s="142"/>
      <c r="E451" s="142"/>
      <c r="F451" s="142"/>
      <c r="G451" s="142"/>
      <c r="H451" s="142"/>
      <c r="I451" s="142"/>
      <c r="J451" s="142"/>
      <c r="K451" s="142"/>
      <c r="L451" s="142"/>
      <c r="M451" s="142"/>
      <c r="N451" s="142"/>
      <c r="O451" s="143">
        <f>COUNTA(O433:O450)</f>
        <v>5</v>
      </c>
      <c r="P451" s="144">
        <f>$O451/$A$45</f>
        <v>0.83333333333333337</v>
      </c>
      <c r="Q451" s="142"/>
      <c r="R451" s="142"/>
      <c r="S451" s="145"/>
    </row>
    <row r="452" spans="1:19" ht="15.75" thickTop="1"/>
  </sheetData>
  <sheetProtection selectLockedCells="1" selectUnlockedCells="1"/>
  <mergeCells count="47">
    <mergeCell ref="A46:S46"/>
    <mergeCell ref="U46:AM46"/>
    <mergeCell ref="B48:C48"/>
    <mergeCell ref="F48:G48"/>
    <mergeCell ref="J48:K48"/>
    <mergeCell ref="O48:P48"/>
    <mergeCell ref="R48:S48"/>
    <mergeCell ref="B47:C47"/>
    <mergeCell ref="J47:K47"/>
    <mergeCell ref="O47:P47"/>
    <mergeCell ref="R47:S47"/>
    <mergeCell ref="Z47:AA47"/>
    <mergeCell ref="AC49:AD49"/>
    <mergeCell ref="AD47:AE47"/>
    <mergeCell ref="BI50:BJ50"/>
    <mergeCell ref="A49:B49"/>
    <mergeCell ref="F47:G47"/>
    <mergeCell ref="N49:O49"/>
    <mergeCell ref="U49:V49"/>
    <mergeCell ref="Y49:Z49"/>
    <mergeCell ref="BM50:BN50"/>
    <mergeCell ref="BQ50:BR50"/>
    <mergeCell ref="BF47:BG47"/>
    <mergeCell ref="AO50:AP50"/>
    <mergeCell ref="AS50:AT50"/>
    <mergeCell ref="AW50:AX50"/>
    <mergeCell ref="BJ47:BK47"/>
    <mergeCell ref="AP47:AQ47"/>
    <mergeCell ref="AT47:AU47"/>
    <mergeCell ref="AX47:AY47"/>
    <mergeCell ref="BB47:BC47"/>
    <mergeCell ref="A1:S1"/>
    <mergeCell ref="U1:AM1"/>
    <mergeCell ref="AO1:BG1"/>
    <mergeCell ref="BI1:CA1"/>
    <mergeCell ref="BN47:BO47"/>
    <mergeCell ref="BR47:BS47"/>
    <mergeCell ref="BV47:BW47"/>
    <mergeCell ref="BZ47:CA47"/>
    <mergeCell ref="BJ3:BK3"/>
    <mergeCell ref="AO46:BG46"/>
    <mergeCell ref="BI46:CA46"/>
    <mergeCell ref="AP3:AQ3"/>
    <mergeCell ref="V3:W3"/>
    <mergeCell ref="AH47:AI47"/>
    <mergeCell ref="AL47:AM47"/>
    <mergeCell ref="V47:W47"/>
  </mergeCells>
  <phoneticPr fontId="21" type="noConversion"/>
  <conditionalFormatting sqref="U51:U84">
    <cfRule type="cellIs" dxfId="10" priority="16" operator="between">
      <formula>$T$54</formula>
      <formula>#REF!</formula>
    </cfRule>
  </conditionalFormatting>
  <conditionalFormatting sqref="AO52:AO85">
    <cfRule type="cellIs" dxfId="9" priority="15" operator="between">
      <formula>$T$54</formula>
      <formula>#REF!</formula>
    </cfRule>
  </conditionalFormatting>
  <conditionalFormatting sqref="AS52:AS85">
    <cfRule type="cellIs" dxfId="8" priority="14" operator="between">
      <formula>$T$54</formula>
      <formula>#REF!</formula>
    </cfRule>
  </conditionalFormatting>
  <conditionalFormatting sqref="AW52:AW85">
    <cfRule type="cellIs" dxfId="7" priority="13" operator="between">
      <formula>$T$54</formula>
      <formula>#REF!</formula>
    </cfRule>
  </conditionalFormatting>
  <conditionalFormatting sqref="BA52:BA85">
    <cfRule type="cellIs" dxfId="6" priority="12" operator="between">
      <formula>$T$54</formula>
      <formula>#REF!</formula>
    </cfRule>
  </conditionalFormatting>
  <conditionalFormatting sqref="BE52:BE85">
    <cfRule type="cellIs" dxfId="5" priority="11" operator="between">
      <formula>$T$54</formula>
      <formula>#REF!</formula>
    </cfRule>
  </conditionalFormatting>
  <conditionalFormatting sqref="BI52:BI85">
    <cfRule type="cellIs" dxfId="4" priority="5" operator="between">
      <formula>$T$54</formula>
      <formula>#REF!</formula>
    </cfRule>
  </conditionalFormatting>
  <conditionalFormatting sqref="BM52:BM85">
    <cfRule type="cellIs" dxfId="3" priority="4" operator="between">
      <formula>$T$54</formula>
      <formula>#REF!</formula>
    </cfRule>
  </conditionalFormatting>
  <conditionalFormatting sqref="BQ52:BQ85">
    <cfRule type="cellIs" dxfId="2" priority="3" operator="between">
      <formula>$T$54</formula>
      <formula>#REF!</formula>
    </cfRule>
  </conditionalFormatting>
  <conditionalFormatting sqref="BU52:BU85">
    <cfRule type="cellIs" dxfId="1" priority="2" operator="between">
      <formula>$T$54</formula>
      <formula>#REF!</formula>
    </cfRule>
  </conditionalFormatting>
  <conditionalFormatting sqref="BY52:BY85">
    <cfRule type="cellIs" dxfId="0" priority="1" operator="between">
      <formula>$T$54</formula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8"/>
  <dimension ref="G1:R155"/>
  <sheetViews>
    <sheetView workbookViewId="0">
      <selection activeCell="P10" sqref="P10:Q10"/>
    </sheetView>
  </sheetViews>
  <sheetFormatPr defaultRowHeight="15"/>
  <cols>
    <col min="3" max="3" width="40.28515625" customWidth="1"/>
    <col min="8" max="9" width="9.7109375" customWidth="1"/>
    <col min="11" max="11" width="9.5703125" bestFit="1" customWidth="1"/>
    <col min="12" max="12" width="10" customWidth="1"/>
    <col min="13" max="13" width="9.7109375" customWidth="1"/>
  </cols>
  <sheetData>
    <row r="1" spans="7:18">
      <c r="G1" t="s">
        <v>142</v>
      </c>
      <c r="L1" s="268">
        <v>45323</v>
      </c>
      <c r="Q1">
        <v>2</v>
      </c>
      <c r="R1" t="s">
        <v>143</v>
      </c>
    </row>
    <row r="2" spans="7:18">
      <c r="G2" t="s">
        <v>144</v>
      </c>
      <c r="H2" t="s">
        <v>145</v>
      </c>
      <c r="J2" t="s">
        <v>146</v>
      </c>
      <c r="K2" t="s">
        <v>147</v>
      </c>
      <c r="L2" t="s">
        <v>144</v>
      </c>
    </row>
    <row r="3" spans="7:18">
      <c r="G3" t="s">
        <v>148</v>
      </c>
      <c r="H3" s="2">
        <v>0.06</v>
      </c>
      <c r="I3" s="2"/>
      <c r="J3" t="s">
        <v>149</v>
      </c>
      <c r="M3" s="2"/>
    </row>
    <row r="4" spans="7:18">
      <c r="H4" s="354" t="s">
        <v>150</v>
      </c>
      <c r="I4" s="354"/>
      <c r="J4" s="354"/>
      <c r="K4" s="355"/>
      <c r="L4" s="356" t="s">
        <v>151</v>
      </c>
      <c r="M4" s="354"/>
      <c r="N4" s="354"/>
      <c r="O4" s="354"/>
    </row>
    <row r="5" spans="7:18" s="1" customFormat="1" ht="38.450000000000003" customHeight="1">
      <c r="H5" s="39" t="s">
        <v>152</v>
      </c>
      <c r="I5" s="39" t="s">
        <v>153</v>
      </c>
      <c r="J5" s="40" t="s">
        <v>154</v>
      </c>
      <c r="K5" s="41" t="s">
        <v>155</v>
      </c>
      <c r="L5" s="263" t="s">
        <v>152</v>
      </c>
      <c r="M5" s="39" t="s">
        <v>153</v>
      </c>
      <c r="N5" s="42" t="s">
        <v>154</v>
      </c>
      <c r="O5" s="40" t="s">
        <v>156</v>
      </c>
    </row>
    <row r="6" spans="7:18">
      <c r="G6">
        <v>1</v>
      </c>
      <c r="H6" s="72">
        <v>2.5</v>
      </c>
      <c r="I6" s="66">
        <f t="shared" ref="I6:I37" si="0">H6*$Q$1</f>
        <v>5</v>
      </c>
      <c r="J6" s="43"/>
      <c r="K6" s="44"/>
      <c r="L6" s="72">
        <v>3.3</v>
      </c>
      <c r="M6" s="66">
        <f t="shared" ref="M6:M37" si="1">L6*$Q$1</f>
        <v>6.6</v>
      </c>
      <c r="N6" s="45"/>
      <c r="O6" s="43"/>
    </row>
    <row r="7" spans="7:18">
      <c r="G7">
        <v>2</v>
      </c>
      <c r="H7" s="72">
        <v>2.5</v>
      </c>
      <c r="I7" s="66">
        <f t="shared" si="0"/>
        <v>5</v>
      </c>
      <c r="J7" s="43"/>
      <c r="K7" s="44"/>
      <c r="L7" s="72">
        <v>3.3</v>
      </c>
      <c r="M7" s="66">
        <f t="shared" si="1"/>
        <v>6.6</v>
      </c>
      <c r="N7" s="45"/>
      <c r="O7" s="43"/>
    </row>
    <row r="8" spans="7:18">
      <c r="G8">
        <v>3</v>
      </c>
      <c r="H8" s="72">
        <v>2.5</v>
      </c>
      <c r="I8" s="66">
        <f t="shared" si="0"/>
        <v>5</v>
      </c>
      <c r="J8" s="43"/>
      <c r="K8" s="44"/>
      <c r="L8" s="72">
        <v>3.3</v>
      </c>
      <c r="M8" s="66">
        <f t="shared" si="1"/>
        <v>6.6</v>
      </c>
      <c r="N8" s="45"/>
      <c r="O8" s="43"/>
    </row>
    <row r="9" spans="7:18">
      <c r="G9">
        <v>4</v>
      </c>
      <c r="H9" s="72">
        <v>2.5</v>
      </c>
      <c r="I9" s="66">
        <f t="shared" si="0"/>
        <v>5</v>
      </c>
      <c r="J9" s="46"/>
      <c r="K9" s="47"/>
      <c r="L9" s="72">
        <v>3.3</v>
      </c>
      <c r="M9" s="66">
        <f t="shared" si="1"/>
        <v>6.6</v>
      </c>
      <c r="N9" s="48"/>
      <c r="O9" s="46"/>
    </row>
    <row r="10" spans="7:18">
      <c r="G10">
        <v>5</v>
      </c>
      <c r="H10" s="72">
        <v>2.5</v>
      </c>
      <c r="I10" s="66">
        <f t="shared" si="0"/>
        <v>5</v>
      </c>
      <c r="J10" s="46"/>
      <c r="K10" s="47"/>
      <c r="L10" s="72">
        <v>3.3</v>
      </c>
      <c r="M10" s="66">
        <f t="shared" si="1"/>
        <v>6.6</v>
      </c>
      <c r="N10" s="48"/>
      <c r="O10" s="46"/>
    </row>
    <row r="11" spans="7:18">
      <c r="G11">
        <v>6</v>
      </c>
      <c r="H11" s="72">
        <v>2.5</v>
      </c>
      <c r="I11" s="66">
        <f t="shared" si="0"/>
        <v>5</v>
      </c>
      <c r="J11" s="46"/>
      <c r="K11" s="47"/>
      <c r="L11" s="72">
        <v>3.3</v>
      </c>
      <c r="M11" s="66">
        <f t="shared" si="1"/>
        <v>6.6</v>
      </c>
      <c r="N11" s="48"/>
      <c r="O11" s="46"/>
    </row>
    <row r="12" spans="7:18">
      <c r="G12">
        <v>7</v>
      </c>
      <c r="H12" s="72">
        <v>2.5</v>
      </c>
      <c r="I12" s="66">
        <f t="shared" si="0"/>
        <v>5</v>
      </c>
      <c r="J12" s="46"/>
      <c r="K12" s="47"/>
      <c r="L12" s="72">
        <v>3.3</v>
      </c>
      <c r="M12" s="66">
        <f t="shared" si="1"/>
        <v>6.6</v>
      </c>
      <c r="N12" s="48"/>
      <c r="O12" s="46"/>
    </row>
    <row r="13" spans="7:18">
      <c r="G13">
        <v>8</v>
      </c>
      <c r="H13" s="72">
        <v>2.6</v>
      </c>
      <c r="I13" s="66">
        <f t="shared" si="0"/>
        <v>5.2</v>
      </c>
      <c r="J13" s="46"/>
      <c r="K13" s="47"/>
      <c r="L13" s="72">
        <v>3.4</v>
      </c>
      <c r="M13" s="66">
        <f t="shared" si="1"/>
        <v>6.8</v>
      </c>
      <c r="N13" s="48"/>
      <c r="O13" s="46"/>
    </row>
    <row r="14" spans="7:18">
      <c r="G14">
        <v>9</v>
      </c>
      <c r="H14" s="72">
        <v>2.8</v>
      </c>
      <c r="I14" s="66">
        <f t="shared" si="0"/>
        <v>5.6</v>
      </c>
      <c r="J14" s="46"/>
      <c r="K14" s="47"/>
      <c r="L14" s="72">
        <v>3.6</v>
      </c>
      <c r="M14" s="66">
        <f t="shared" si="1"/>
        <v>7.2</v>
      </c>
      <c r="N14" s="48"/>
      <c r="O14" s="46"/>
    </row>
    <row r="15" spans="7:18">
      <c r="G15">
        <v>10</v>
      </c>
      <c r="H15" s="72">
        <v>3</v>
      </c>
      <c r="I15" s="66">
        <f t="shared" si="0"/>
        <v>6</v>
      </c>
      <c r="J15" s="46"/>
      <c r="K15" s="47"/>
      <c r="L15" s="72">
        <v>3.9</v>
      </c>
      <c r="M15" s="66">
        <f t="shared" si="1"/>
        <v>7.8</v>
      </c>
      <c r="N15" s="48"/>
      <c r="O15" s="46"/>
    </row>
    <row r="16" spans="7:18">
      <c r="G16">
        <v>11</v>
      </c>
      <c r="H16" s="72">
        <v>3.1</v>
      </c>
      <c r="I16" s="66">
        <f t="shared" si="0"/>
        <v>6.2</v>
      </c>
      <c r="J16" s="46"/>
      <c r="K16" s="47"/>
      <c r="L16" s="72">
        <v>4.0999999999999996</v>
      </c>
      <c r="M16" s="66">
        <f t="shared" si="1"/>
        <v>8.1999999999999993</v>
      </c>
      <c r="N16" s="48"/>
      <c r="O16" s="46"/>
    </row>
    <row r="17" spans="7:15">
      <c r="G17">
        <v>12</v>
      </c>
      <c r="H17" s="72">
        <v>3.3</v>
      </c>
      <c r="I17" s="66">
        <f t="shared" si="0"/>
        <v>6.6</v>
      </c>
      <c r="J17" s="46"/>
      <c r="K17" s="47"/>
      <c r="L17" s="72">
        <v>4.3</v>
      </c>
      <c r="M17" s="66">
        <f t="shared" si="1"/>
        <v>8.6</v>
      </c>
      <c r="N17" s="48"/>
      <c r="O17" s="46"/>
    </row>
    <row r="18" spans="7:15">
      <c r="G18">
        <v>13</v>
      </c>
      <c r="H18" s="72">
        <v>3.4</v>
      </c>
      <c r="I18" s="66">
        <f t="shared" si="0"/>
        <v>6.8</v>
      </c>
      <c r="J18" s="46"/>
      <c r="K18" s="47"/>
      <c r="L18" s="72">
        <v>4.5</v>
      </c>
      <c r="M18" s="66">
        <f t="shared" si="1"/>
        <v>9</v>
      </c>
      <c r="N18" s="48"/>
      <c r="O18" s="46"/>
    </row>
    <row r="19" spans="7:15">
      <c r="G19">
        <v>14</v>
      </c>
      <c r="H19" s="72">
        <v>3.6</v>
      </c>
      <c r="I19" s="66">
        <f t="shared" si="0"/>
        <v>7.2</v>
      </c>
      <c r="J19" s="46"/>
      <c r="K19" s="47"/>
      <c r="L19" s="72">
        <v>4.7</v>
      </c>
      <c r="M19" s="66">
        <f t="shared" si="1"/>
        <v>9.4</v>
      </c>
      <c r="N19" s="48"/>
      <c r="O19" s="46"/>
    </row>
    <row r="20" spans="7:15">
      <c r="G20">
        <v>15</v>
      </c>
      <c r="H20" s="72">
        <v>3.8</v>
      </c>
      <c r="I20" s="66">
        <f t="shared" si="0"/>
        <v>7.6</v>
      </c>
      <c r="J20" s="46"/>
      <c r="K20" s="47"/>
      <c r="L20" s="72">
        <v>4.9000000000000004</v>
      </c>
      <c r="M20" s="66">
        <f t="shared" si="1"/>
        <v>9.8000000000000007</v>
      </c>
      <c r="N20" s="48"/>
      <c r="O20" s="46"/>
    </row>
    <row r="21" spans="7:15">
      <c r="G21">
        <v>16</v>
      </c>
      <c r="H21" s="72">
        <v>3.9</v>
      </c>
      <c r="I21" s="66">
        <f t="shared" si="0"/>
        <v>7.8</v>
      </c>
      <c r="J21" s="46"/>
      <c r="K21" s="47"/>
      <c r="L21" s="72">
        <v>5.0999999999999996</v>
      </c>
      <c r="M21" s="66">
        <f t="shared" si="1"/>
        <v>10.199999999999999</v>
      </c>
      <c r="N21" s="48"/>
      <c r="O21" s="46"/>
    </row>
    <row r="22" spans="7:15">
      <c r="G22">
        <v>17</v>
      </c>
      <c r="H22" s="72">
        <v>4.0999999999999996</v>
      </c>
      <c r="I22" s="66">
        <f t="shared" si="0"/>
        <v>8.1999999999999993</v>
      </c>
      <c r="J22" s="46"/>
      <c r="K22" s="47"/>
      <c r="L22" s="72">
        <v>5.3</v>
      </c>
      <c r="M22" s="66">
        <f t="shared" si="1"/>
        <v>10.6</v>
      </c>
      <c r="N22" s="48"/>
      <c r="O22" s="46"/>
    </row>
    <row r="23" spans="7:15">
      <c r="G23">
        <v>18</v>
      </c>
      <c r="H23" s="72">
        <v>4.2</v>
      </c>
      <c r="I23" s="66">
        <f t="shared" si="0"/>
        <v>8.4</v>
      </c>
      <c r="J23" s="46"/>
      <c r="K23" s="47"/>
      <c r="L23" s="72">
        <v>5.5</v>
      </c>
      <c r="M23" s="66">
        <f t="shared" si="1"/>
        <v>11</v>
      </c>
      <c r="N23" s="48"/>
      <c r="O23" s="46"/>
    </row>
    <row r="24" spans="7:15">
      <c r="G24">
        <v>19</v>
      </c>
      <c r="H24" s="72">
        <v>4.4000000000000004</v>
      </c>
      <c r="I24" s="66">
        <f t="shared" si="0"/>
        <v>8.8000000000000007</v>
      </c>
      <c r="J24" s="46"/>
      <c r="K24" s="47"/>
      <c r="L24" s="72">
        <v>5.7</v>
      </c>
      <c r="M24" s="66">
        <f t="shared" si="1"/>
        <v>11.4</v>
      </c>
      <c r="N24" s="48"/>
      <c r="O24" s="46"/>
    </row>
    <row r="25" spans="7:15">
      <c r="G25">
        <v>20</v>
      </c>
      <c r="H25" s="72">
        <v>4.5999999999999996</v>
      </c>
      <c r="I25" s="66">
        <f t="shared" si="0"/>
        <v>9.1999999999999993</v>
      </c>
      <c r="J25" s="46"/>
      <c r="K25" s="47"/>
      <c r="L25" s="72">
        <v>5.9</v>
      </c>
      <c r="M25" s="66">
        <f t="shared" si="1"/>
        <v>11.8</v>
      </c>
      <c r="N25" s="48"/>
      <c r="O25" s="46"/>
    </row>
    <row r="26" spans="7:15">
      <c r="G26">
        <v>21</v>
      </c>
      <c r="H26" s="72">
        <v>4.7</v>
      </c>
      <c r="I26" s="66">
        <f t="shared" si="0"/>
        <v>9.4</v>
      </c>
      <c r="J26" s="46"/>
      <c r="K26" s="47"/>
      <c r="L26" s="72">
        <v>6.1</v>
      </c>
      <c r="M26" s="66">
        <f t="shared" si="1"/>
        <v>12.2</v>
      </c>
      <c r="N26" s="48"/>
      <c r="O26" s="46"/>
    </row>
    <row r="27" spans="7:15">
      <c r="G27">
        <v>22</v>
      </c>
      <c r="H27" s="72">
        <v>4.9000000000000004</v>
      </c>
      <c r="I27" s="66">
        <f t="shared" si="0"/>
        <v>9.8000000000000007</v>
      </c>
      <c r="J27" s="46"/>
      <c r="K27" s="47"/>
      <c r="L27" s="72">
        <v>6.3</v>
      </c>
      <c r="M27" s="66">
        <f t="shared" si="1"/>
        <v>12.6</v>
      </c>
      <c r="N27" s="48"/>
      <c r="O27" s="46"/>
    </row>
    <row r="28" spans="7:15">
      <c r="G28">
        <v>23</v>
      </c>
      <c r="H28" s="72">
        <v>5</v>
      </c>
      <c r="I28" s="66">
        <f t="shared" si="0"/>
        <v>10</v>
      </c>
      <c r="J28" s="46"/>
      <c r="K28" s="47"/>
      <c r="L28" s="72">
        <v>6.5</v>
      </c>
      <c r="M28" s="66">
        <f t="shared" si="1"/>
        <v>13</v>
      </c>
      <c r="N28" s="48"/>
      <c r="O28" s="46"/>
    </row>
    <row r="29" spans="7:15">
      <c r="G29">
        <v>24</v>
      </c>
      <c r="H29" s="72">
        <v>5.2</v>
      </c>
      <c r="I29" s="66">
        <f t="shared" si="0"/>
        <v>10.4</v>
      </c>
      <c r="J29" s="46"/>
      <c r="K29" s="47"/>
      <c r="L29" s="72">
        <v>6.8</v>
      </c>
      <c r="M29" s="66">
        <f t="shared" si="1"/>
        <v>13.6</v>
      </c>
      <c r="N29" s="48"/>
      <c r="O29" s="46"/>
    </row>
    <row r="30" spans="7:15">
      <c r="G30">
        <v>25</v>
      </c>
      <c r="H30" s="72">
        <v>5.4</v>
      </c>
      <c r="I30" s="66">
        <f t="shared" si="0"/>
        <v>10.8</v>
      </c>
      <c r="J30" s="46"/>
      <c r="K30" s="47"/>
      <c r="L30" s="72">
        <v>7</v>
      </c>
      <c r="M30" s="66">
        <f t="shared" si="1"/>
        <v>14</v>
      </c>
      <c r="N30" s="48"/>
      <c r="O30" s="46"/>
    </row>
    <row r="31" spans="7:15">
      <c r="G31">
        <v>26</v>
      </c>
      <c r="H31" s="72">
        <v>5.5</v>
      </c>
      <c r="I31" s="66">
        <f t="shared" si="0"/>
        <v>11</v>
      </c>
      <c r="J31" s="46"/>
      <c r="K31" s="47"/>
      <c r="L31" s="72">
        <v>7.2</v>
      </c>
      <c r="M31" s="66">
        <f t="shared" si="1"/>
        <v>14.4</v>
      </c>
      <c r="N31" s="48"/>
      <c r="O31" s="46"/>
    </row>
    <row r="32" spans="7:15">
      <c r="G32">
        <v>27</v>
      </c>
      <c r="H32" s="72">
        <v>5.7</v>
      </c>
      <c r="I32" s="66">
        <f t="shared" si="0"/>
        <v>11.4</v>
      </c>
      <c r="J32" s="46"/>
      <c r="K32" s="47"/>
      <c r="L32" s="72">
        <v>7.4</v>
      </c>
      <c r="M32" s="66">
        <f t="shared" si="1"/>
        <v>14.8</v>
      </c>
      <c r="N32" s="48"/>
      <c r="O32" s="46"/>
    </row>
    <row r="33" spans="7:15">
      <c r="G33">
        <v>28</v>
      </c>
      <c r="H33" s="72">
        <v>5.8</v>
      </c>
      <c r="I33" s="66">
        <f t="shared" si="0"/>
        <v>11.6</v>
      </c>
      <c r="J33" s="46"/>
      <c r="K33" s="47"/>
      <c r="L33" s="72">
        <v>7.6</v>
      </c>
      <c r="M33" s="66">
        <f t="shared" si="1"/>
        <v>15.2</v>
      </c>
      <c r="N33" s="48"/>
      <c r="O33" s="46"/>
    </row>
    <row r="34" spans="7:15">
      <c r="G34">
        <v>29</v>
      </c>
      <c r="H34" s="72">
        <v>6</v>
      </c>
      <c r="I34" s="66">
        <f t="shared" si="0"/>
        <v>12</v>
      </c>
      <c r="J34" s="46"/>
      <c r="K34" s="47"/>
      <c r="L34" s="72">
        <v>7.8</v>
      </c>
      <c r="M34" s="66">
        <f t="shared" si="1"/>
        <v>15.6</v>
      </c>
      <c r="N34" s="48"/>
      <c r="O34" s="46"/>
    </row>
    <row r="35" spans="7:15">
      <c r="G35">
        <v>30</v>
      </c>
      <c r="H35" s="72">
        <v>6.1</v>
      </c>
      <c r="I35" s="66">
        <f t="shared" si="0"/>
        <v>12.2</v>
      </c>
      <c r="J35" s="46"/>
      <c r="K35" s="47"/>
      <c r="L35" s="72">
        <v>8</v>
      </c>
      <c r="M35" s="66">
        <f t="shared" si="1"/>
        <v>16</v>
      </c>
      <c r="N35" s="48"/>
      <c r="O35" s="46"/>
    </row>
    <row r="36" spans="7:15">
      <c r="G36">
        <v>31</v>
      </c>
      <c r="H36" s="72">
        <v>6.5</v>
      </c>
      <c r="I36" s="66">
        <f t="shared" si="0"/>
        <v>13</v>
      </c>
      <c r="J36" s="46"/>
      <c r="K36" s="47"/>
      <c r="L36" s="72">
        <v>8.4</v>
      </c>
      <c r="M36" s="66">
        <f t="shared" si="1"/>
        <v>16.8</v>
      </c>
      <c r="N36" s="48"/>
      <c r="O36" s="46"/>
    </row>
    <row r="37" spans="7:15">
      <c r="G37">
        <v>32</v>
      </c>
      <c r="H37" s="72">
        <v>6.5</v>
      </c>
      <c r="I37" s="66">
        <f t="shared" si="0"/>
        <v>13</v>
      </c>
      <c r="J37" s="46"/>
      <c r="K37" s="47"/>
      <c r="L37" s="72">
        <v>8.4</v>
      </c>
      <c r="M37" s="66">
        <f t="shared" si="1"/>
        <v>16.8</v>
      </c>
      <c r="N37" s="48"/>
      <c r="O37" s="46"/>
    </row>
    <row r="38" spans="7:15">
      <c r="G38">
        <v>33</v>
      </c>
      <c r="H38" s="72">
        <v>6.5</v>
      </c>
      <c r="I38" s="66">
        <f t="shared" ref="I38:I69" si="2">H38*$Q$1</f>
        <v>13</v>
      </c>
      <c r="J38" s="46"/>
      <c r="K38" s="47"/>
      <c r="L38" s="72">
        <v>8.4</v>
      </c>
      <c r="M38" s="66">
        <f t="shared" ref="M38:M69" si="3">L38*$Q$1</f>
        <v>16.8</v>
      </c>
      <c r="N38" s="48"/>
      <c r="O38" s="46"/>
    </row>
    <row r="39" spans="7:15">
      <c r="G39">
        <v>34</v>
      </c>
      <c r="H39" s="72">
        <v>6.9</v>
      </c>
      <c r="I39" s="66">
        <f t="shared" si="2"/>
        <v>13.8</v>
      </c>
      <c r="J39" s="46"/>
      <c r="K39" s="47"/>
      <c r="L39" s="72">
        <v>9</v>
      </c>
      <c r="M39" s="66">
        <f t="shared" si="3"/>
        <v>18</v>
      </c>
      <c r="N39" s="48"/>
      <c r="O39" s="46"/>
    </row>
    <row r="40" spans="7:15">
      <c r="G40">
        <v>35</v>
      </c>
      <c r="H40" s="72">
        <v>6.9</v>
      </c>
      <c r="I40" s="66">
        <f t="shared" si="2"/>
        <v>13.8</v>
      </c>
      <c r="J40" s="46"/>
      <c r="K40" s="47"/>
      <c r="L40" s="72">
        <v>9</v>
      </c>
      <c r="M40" s="66">
        <f t="shared" si="3"/>
        <v>18</v>
      </c>
      <c r="N40" s="48"/>
      <c r="O40" s="46"/>
    </row>
    <row r="41" spans="7:15">
      <c r="G41">
        <v>36</v>
      </c>
      <c r="H41" s="72">
        <v>6.9</v>
      </c>
      <c r="I41" s="66">
        <f t="shared" si="2"/>
        <v>13.8</v>
      </c>
      <c r="J41" s="46"/>
      <c r="K41" s="47"/>
      <c r="L41" s="72">
        <v>9</v>
      </c>
      <c r="M41" s="66">
        <f t="shared" si="3"/>
        <v>18</v>
      </c>
      <c r="N41" s="48"/>
      <c r="O41" s="46"/>
    </row>
    <row r="42" spans="7:15">
      <c r="G42">
        <v>37</v>
      </c>
      <c r="H42" s="72">
        <v>7.4</v>
      </c>
      <c r="I42" s="66">
        <f t="shared" si="2"/>
        <v>14.8</v>
      </c>
      <c r="J42" s="46"/>
      <c r="K42" s="47"/>
      <c r="L42" s="72">
        <v>10.4</v>
      </c>
      <c r="M42" s="66">
        <f t="shared" si="3"/>
        <v>20.8</v>
      </c>
      <c r="N42" s="48"/>
      <c r="O42" s="46"/>
    </row>
    <row r="43" spans="7:15">
      <c r="G43">
        <v>38</v>
      </c>
      <c r="H43" s="72">
        <v>7.4</v>
      </c>
      <c r="I43" s="66">
        <f t="shared" si="2"/>
        <v>14.8</v>
      </c>
      <c r="J43" s="46"/>
      <c r="K43" s="47"/>
      <c r="L43" s="72">
        <v>10.4</v>
      </c>
      <c r="M43" s="66">
        <f t="shared" si="3"/>
        <v>20.8</v>
      </c>
      <c r="N43" s="48"/>
      <c r="O43" s="46"/>
    </row>
    <row r="44" spans="7:15">
      <c r="G44">
        <v>39</v>
      </c>
      <c r="H44" s="72">
        <v>7.4</v>
      </c>
      <c r="I44" s="66">
        <f t="shared" si="2"/>
        <v>14.8</v>
      </c>
      <c r="J44" s="46"/>
      <c r="K44" s="47"/>
      <c r="L44" s="72">
        <v>10.4</v>
      </c>
      <c r="M44" s="66">
        <f t="shared" si="3"/>
        <v>20.8</v>
      </c>
      <c r="N44" s="48"/>
      <c r="O44" s="46"/>
    </row>
    <row r="45" spans="7:15">
      <c r="G45">
        <v>40</v>
      </c>
      <c r="H45" s="72">
        <v>7.9</v>
      </c>
      <c r="I45" s="66">
        <f t="shared" si="2"/>
        <v>15.8</v>
      </c>
      <c r="J45" s="46"/>
      <c r="K45" s="47"/>
      <c r="L45" s="72">
        <v>11.1</v>
      </c>
      <c r="M45" s="66">
        <f t="shared" si="3"/>
        <v>22.2</v>
      </c>
      <c r="N45" s="48"/>
      <c r="O45" s="46"/>
    </row>
    <row r="46" spans="7:15">
      <c r="G46">
        <v>41</v>
      </c>
      <c r="H46" s="72">
        <v>7.9</v>
      </c>
      <c r="I46" s="66">
        <f t="shared" si="2"/>
        <v>15.8</v>
      </c>
      <c r="J46" s="46"/>
      <c r="K46" s="47"/>
      <c r="L46" s="72">
        <v>11.1</v>
      </c>
      <c r="M46" s="66">
        <f t="shared" si="3"/>
        <v>22.2</v>
      </c>
      <c r="N46" s="48"/>
      <c r="O46" s="46"/>
    </row>
    <row r="47" spans="7:15">
      <c r="G47">
        <v>42</v>
      </c>
      <c r="H47" s="72">
        <v>7.9</v>
      </c>
      <c r="I47" s="66">
        <f t="shared" si="2"/>
        <v>15.8</v>
      </c>
      <c r="J47" s="46"/>
      <c r="K47" s="47"/>
      <c r="L47" s="72">
        <v>11.1</v>
      </c>
      <c r="M47" s="66">
        <f t="shared" si="3"/>
        <v>22.2</v>
      </c>
      <c r="N47" s="48"/>
      <c r="O47" s="46"/>
    </row>
    <row r="48" spans="7:15">
      <c r="G48">
        <v>43</v>
      </c>
      <c r="H48" s="72">
        <v>8.4</v>
      </c>
      <c r="I48" s="66">
        <f t="shared" si="2"/>
        <v>16.8</v>
      </c>
      <c r="J48" s="46"/>
      <c r="K48" s="47"/>
      <c r="L48" s="72">
        <v>11.7</v>
      </c>
      <c r="M48" s="66">
        <f t="shared" si="3"/>
        <v>23.4</v>
      </c>
      <c r="N48" s="48"/>
      <c r="O48" s="46"/>
    </row>
    <row r="49" spans="7:15">
      <c r="G49">
        <v>44</v>
      </c>
      <c r="H49" s="72">
        <v>8.4</v>
      </c>
      <c r="I49" s="66">
        <f t="shared" si="2"/>
        <v>16.8</v>
      </c>
      <c r="J49" s="46"/>
      <c r="K49" s="47"/>
      <c r="L49" s="72">
        <v>11.7</v>
      </c>
      <c r="M49" s="66">
        <f t="shared" si="3"/>
        <v>23.4</v>
      </c>
      <c r="N49" s="48"/>
      <c r="O49" s="46"/>
    </row>
    <row r="50" spans="7:15">
      <c r="G50">
        <v>45</v>
      </c>
      <c r="H50" s="72">
        <v>8.4</v>
      </c>
      <c r="I50" s="66">
        <f t="shared" si="2"/>
        <v>16.8</v>
      </c>
      <c r="J50" s="46"/>
      <c r="K50" s="47"/>
      <c r="L50" s="72">
        <v>11.7</v>
      </c>
      <c r="M50" s="66">
        <f t="shared" si="3"/>
        <v>23.4</v>
      </c>
      <c r="N50" s="48"/>
      <c r="O50" s="46"/>
    </row>
    <row r="51" spans="7:15">
      <c r="G51">
        <v>46</v>
      </c>
      <c r="H51" s="72">
        <v>8.9</v>
      </c>
      <c r="I51" s="66">
        <f t="shared" si="2"/>
        <v>17.8</v>
      </c>
      <c r="J51" s="46"/>
      <c r="K51" s="47"/>
      <c r="L51" s="72">
        <v>12.4</v>
      </c>
      <c r="M51" s="66">
        <f t="shared" si="3"/>
        <v>24.8</v>
      </c>
      <c r="N51" s="48"/>
      <c r="O51" s="46"/>
    </row>
    <row r="52" spans="7:15">
      <c r="G52">
        <v>47</v>
      </c>
      <c r="H52" s="72">
        <v>8.9</v>
      </c>
      <c r="I52" s="66">
        <f t="shared" si="2"/>
        <v>17.8</v>
      </c>
      <c r="J52" s="46"/>
      <c r="K52" s="47"/>
      <c r="L52" s="72">
        <v>12.4</v>
      </c>
      <c r="M52" s="66">
        <f t="shared" si="3"/>
        <v>24.8</v>
      </c>
      <c r="N52" s="48"/>
      <c r="O52" s="46"/>
    </row>
    <row r="53" spans="7:15">
      <c r="G53">
        <v>48</v>
      </c>
      <c r="H53" s="72">
        <v>8.9</v>
      </c>
      <c r="I53" s="66">
        <f>H53*$Q$1</f>
        <v>17.8</v>
      </c>
      <c r="J53" s="46"/>
      <c r="K53" s="47"/>
      <c r="L53" s="72">
        <v>12.4</v>
      </c>
      <c r="M53" s="66">
        <f t="shared" si="3"/>
        <v>24.8</v>
      </c>
      <c r="N53" s="48"/>
      <c r="O53" s="46"/>
    </row>
    <row r="54" spans="7:15">
      <c r="G54">
        <v>49</v>
      </c>
      <c r="H54" s="72">
        <v>9.3000000000000007</v>
      </c>
      <c r="I54" s="66">
        <f t="shared" si="2"/>
        <v>18.600000000000001</v>
      </c>
      <c r="J54" s="46"/>
      <c r="K54" s="47"/>
      <c r="L54" s="72">
        <v>13.1</v>
      </c>
      <c r="M54" s="66">
        <f t="shared" si="3"/>
        <v>26.2</v>
      </c>
      <c r="N54" s="48"/>
      <c r="O54" s="46"/>
    </row>
    <row r="55" spans="7:15">
      <c r="G55">
        <v>50</v>
      </c>
      <c r="H55" s="72">
        <v>9.3000000000000007</v>
      </c>
      <c r="I55" s="66">
        <f t="shared" si="2"/>
        <v>18.600000000000001</v>
      </c>
      <c r="J55" s="46"/>
      <c r="K55" s="47"/>
      <c r="L55" s="72">
        <v>13.1</v>
      </c>
      <c r="M55" s="66">
        <f t="shared" si="3"/>
        <v>26.2</v>
      </c>
      <c r="N55" s="48"/>
      <c r="O55" s="46"/>
    </row>
    <row r="56" spans="7:15">
      <c r="G56">
        <v>51</v>
      </c>
      <c r="H56" s="72">
        <v>9.3000000000000007</v>
      </c>
      <c r="I56" s="66">
        <f t="shared" si="2"/>
        <v>18.600000000000001</v>
      </c>
      <c r="J56" s="46"/>
      <c r="K56" s="47"/>
      <c r="L56" s="72">
        <v>13.1</v>
      </c>
      <c r="M56" s="66">
        <f t="shared" si="3"/>
        <v>26.2</v>
      </c>
      <c r="N56" s="48"/>
      <c r="O56" s="46"/>
    </row>
    <row r="57" spans="7:15">
      <c r="G57">
        <v>52</v>
      </c>
      <c r="H57" s="72">
        <v>9.8000000000000007</v>
      </c>
      <c r="I57" s="66">
        <f t="shared" si="2"/>
        <v>19.600000000000001</v>
      </c>
      <c r="J57" s="46"/>
      <c r="K57" s="47"/>
      <c r="L57" s="72">
        <v>15.1</v>
      </c>
      <c r="M57" s="66">
        <f t="shared" si="3"/>
        <v>30.2</v>
      </c>
      <c r="N57" s="48"/>
      <c r="O57" s="46"/>
    </row>
    <row r="58" spans="7:15">
      <c r="G58">
        <v>53</v>
      </c>
      <c r="H58" s="72">
        <v>9.8000000000000007</v>
      </c>
      <c r="I58" s="66">
        <f t="shared" si="2"/>
        <v>19.600000000000001</v>
      </c>
      <c r="J58" s="46"/>
      <c r="K58" s="47"/>
      <c r="L58" s="72">
        <v>15.1</v>
      </c>
      <c r="M58" s="66">
        <f t="shared" si="3"/>
        <v>30.2</v>
      </c>
      <c r="N58" s="48"/>
      <c r="O58" s="46"/>
    </row>
    <row r="59" spans="7:15">
      <c r="G59">
        <v>54</v>
      </c>
      <c r="H59" s="72">
        <v>9.8000000000000007</v>
      </c>
      <c r="I59" s="66">
        <f t="shared" si="2"/>
        <v>19.600000000000001</v>
      </c>
      <c r="J59" s="46"/>
      <c r="K59" s="47"/>
      <c r="L59" s="72">
        <v>15.1</v>
      </c>
      <c r="M59" s="66">
        <f t="shared" si="3"/>
        <v>30.2</v>
      </c>
      <c r="N59" s="48"/>
      <c r="O59" s="46"/>
    </row>
    <row r="60" spans="7:15">
      <c r="G60">
        <v>55</v>
      </c>
      <c r="H60" s="72">
        <v>10.3</v>
      </c>
      <c r="I60" s="66">
        <f t="shared" si="2"/>
        <v>20.6</v>
      </c>
      <c r="J60" s="46"/>
      <c r="K60" s="47"/>
      <c r="L60" s="72">
        <v>15.8</v>
      </c>
      <c r="M60" s="66">
        <f t="shared" si="3"/>
        <v>31.6</v>
      </c>
      <c r="N60" s="48"/>
      <c r="O60" s="46"/>
    </row>
    <row r="61" spans="7:15">
      <c r="G61">
        <v>56</v>
      </c>
      <c r="H61" s="72">
        <v>10.3</v>
      </c>
      <c r="I61" s="66">
        <f t="shared" si="2"/>
        <v>20.6</v>
      </c>
      <c r="J61" s="46"/>
      <c r="K61" s="47"/>
      <c r="L61" s="72">
        <v>15.8</v>
      </c>
      <c r="M61" s="66">
        <f t="shared" si="3"/>
        <v>31.6</v>
      </c>
      <c r="N61" s="48"/>
      <c r="O61" s="46"/>
    </row>
    <row r="62" spans="7:15">
      <c r="G62">
        <v>57</v>
      </c>
      <c r="H62" s="72">
        <v>10.3</v>
      </c>
      <c r="I62" s="66">
        <f t="shared" si="2"/>
        <v>20.6</v>
      </c>
      <c r="J62" s="46"/>
      <c r="K62" s="47"/>
      <c r="L62" s="72">
        <v>15.8</v>
      </c>
      <c r="M62" s="66">
        <f t="shared" si="3"/>
        <v>31.6</v>
      </c>
      <c r="N62" s="48"/>
      <c r="O62" s="46"/>
    </row>
    <row r="63" spans="7:15">
      <c r="G63">
        <v>58</v>
      </c>
      <c r="H63" s="72">
        <v>10.8</v>
      </c>
      <c r="I63" s="66">
        <f t="shared" si="2"/>
        <v>21.6</v>
      </c>
      <c r="J63" s="46"/>
      <c r="K63" s="47"/>
      <c r="L63" s="72">
        <v>16.600000000000001</v>
      </c>
      <c r="M63" s="66">
        <f t="shared" si="3"/>
        <v>33.200000000000003</v>
      </c>
      <c r="N63" s="48"/>
      <c r="O63" s="46"/>
    </row>
    <row r="64" spans="7:15">
      <c r="G64">
        <v>59</v>
      </c>
      <c r="H64" s="72">
        <v>10.8</v>
      </c>
      <c r="I64" s="66">
        <f t="shared" si="2"/>
        <v>21.6</v>
      </c>
      <c r="J64" s="46"/>
      <c r="K64" s="47"/>
      <c r="L64" s="72">
        <v>16.600000000000001</v>
      </c>
      <c r="M64" s="66">
        <f t="shared" si="3"/>
        <v>33.200000000000003</v>
      </c>
      <c r="N64" s="48"/>
      <c r="O64" s="46"/>
    </row>
    <row r="65" spans="7:15">
      <c r="G65">
        <v>60</v>
      </c>
      <c r="H65" s="72">
        <v>10.8</v>
      </c>
      <c r="I65" s="66">
        <f t="shared" si="2"/>
        <v>21.6</v>
      </c>
      <c r="J65" s="46"/>
      <c r="K65" s="47"/>
      <c r="L65" s="72">
        <v>16.600000000000001</v>
      </c>
      <c r="M65" s="66">
        <f t="shared" si="3"/>
        <v>33.200000000000003</v>
      </c>
      <c r="N65" s="48"/>
      <c r="O65" s="46"/>
    </row>
    <row r="66" spans="7:15">
      <c r="G66">
        <v>61</v>
      </c>
      <c r="H66" s="72">
        <v>11.4</v>
      </c>
      <c r="I66" s="66">
        <f t="shared" si="2"/>
        <v>22.8</v>
      </c>
      <c r="J66" s="46"/>
      <c r="K66" s="47"/>
      <c r="L66" s="72">
        <v>17.600000000000001</v>
      </c>
      <c r="M66" s="66">
        <f t="shared" si="3"/>
        <v>35.200000000000003</v>
      </c>
      <c r="N66" s="48"/>
      <c r="O66" s="46"/>
    </row>
    <row r="67" spans="7:15">
      <c r="G67">
        <v>62</v>
      </c>
      <c r="H67" s="72">
        <v>11.4</v>
      </c>
      <c r="I67" s="66">
        <f t="shared" si="2"/>
        <v>22.8</v>
      </c>
      <c r="J67" s="46"/>
      <c r="K67" s="47"/>
      <c r="L67" s="72">
        <v>17.600000000000001</v>
      </c>
      <c r="M67" s="66">
        <f t="shared" si="3"/>
        <v>35.200000000000003</v>
      </c>
      <c r="N67" s="48"/>
      <c r="O67" s="46"/>
    </row>
    <row r="68" spans="7:15">
      <c r="G68">
        <v>63</v>
      </c>
      <c r="H68" s="72">
        <v>11.4</v>
      </c>
      <c r="I68" s="66">
        <f t="shared" si="2"/>
        <v>22.8</v>
      </c>
      <c r="J68" s="46"/>
      <c r="K68" s="47"/>
      <c r="L68" s="72">
        <v>17.600000000000001</v>
      </c>
      <c r="M68" s="66">
        <f t="shared" si="3"/>
        <v>35.200000000000003</v>
      </c>
      <c r="N68" s="48"/>
      <c r="O68" s="46"/>
    </row>
    <row r="69" spans="7:15">
      <c r="G69">
        <v>64</v>
      </c>
      <c r="H69" s="72">
        <v>11.4</v>
      </c>
      <c r="I69" s="66">
        <f t="shared" si="2"/>
        <v>22.8</v>
      </c>
      <c r="J69" s="46"/>
      <c r="K69" s="47"/>
      <c r="L69" s="72">
        <v>17.600000000000001</v>
      </c>
      <c r="M69" s="66">
        <f t="shared" si="3"/>
        <v>35.200000000000003</v>
      </c>
      <c r="N69" s="48"/>
      <c r="O69" s="46"/>
    </row>
    <row r="70" spans="7:15">
      <c r="G70">
        <v>65</v>
      </c>
      <c r="H70" s="72">
        <v>11.4</v>
      </c>
      <c r="I70" s="66">
        <f t="shared" ref="I70:I101" si="4">H70*$Q$1</f>
        <v>22.8</v>
      </c>
      <c r="J70" s="46"/>
      <c r="K70" s="47"/>
      <c r="L70" s="72">
        <v>17.600000000000001</v>
      </c>
      <c r="M70" s="66">
        <f t="shared" ref="M70:M101" si="5">L70*$Q$1</f>
        <v>35.200000000000003</v>
      </c>
      <c r="N70" s="48"/>
      <c r="O70" s="46"/>
    </row>
    <row r="71" spans="7:15">
      <c r="G71">
        <v>66</v>
      </c>
      <c r="H71" s="72">
        <v>12.2</v>
      </c>
      <c r="I71" s="66">
        <f t="shared" si="4"/>
        <v>24.4</v>
      </c>
      <c r="J71" s="46"/>
      <c r="K71" s="47"/>
      <c r="L71" s="72">
        <v>18.8</v>
      </c>
      <c r="M71" s="66">
        <f t="shared" si="5"/>
        <v>37.6</v>
      </c>
      <c r="N71" s="48"/>
      <c r="O71" s="46"/>
    </row>
    <row r="72" spans="7:15">
      <c r="G72">
        <v>67</v>
      </c>
      <c r="H72" s="72">
        <v>12.2</v>
      </c>
      <c r="I72" s="66">
        <f t="shared" si="4"/>
        <v>24.4</v>
      </c>
      <c r="J72" s="46"/>
      <c r="K72" s="47"/>
      <c r="L72" s="72">
        <v>18.8</v>
      </c>
      <c r="M72" s="66">
        <f t="shared" si="5"/>
        <v>37.6</v>
      </c>
      <c r="N72" s="48"/>
      <c r="O72" s="46"/>
    </row>
    <row r="73" spans="7:15">
      <c r="G73">
        <v>68</v>
      </c>
      <c r="H73" s="72">
        <v>12.2</v>
      </c>
      <c r="I73" s="66">
        <f t="shared" si="4"/>
        <v>24.4</v>
      </c>
      <c r="J73" s="46"/>
      <c r="K73" s="47"/>
      <c r="L73" s="72">
        <v>18.8</v>
      </c>
      <c r="M73" s="66">
        <f t="shared" si="5"/>
        <v>37.6</v>
      </c>
      <c r="N73" s="48"/>
      <c r="O73" s="46"/>
    </row>
    <row r="74" spans="7:15">
      <c r="G74">
        <v>69</v>
      </c>
      <c r="H74" s="72">
        <v>12.2</v>
      </c>
      <c r="I74" s="66">
        <f t="shared" si="4"/>
        <v>24.4</v>
      </c>
      <c r="J74" s="46"/>
      <c r="K74" s="47"/>
      <c r="L74" s="72">
        <v>18.8</v>
      </c>
      <c r="M74" s="66">
        <f t="shared" si="5"/>
        <v>37.6</v>
      </c>
      <c r="N74" s="48"/>
      <c r="O74" s="46"/>
    </row>
    <row r="75" spans="7:15">
      <c r="G75">
        <v>70</v>
      </c>
      <c r="H75" s="72">
        <v>12.2</v>
      </c>
      <c r="I75" s="66">
        <f t="shared" si="4"/>
        <v>24.4</v>
      </c>
      <c r="J75" s="46"/>
      <c r="K75" s="47"/>
      <c r="L75" s="72">
        <v>18.8</v>
      </c>
      <c r="M75" s="66">
        <f t="shared" si="5"/>
        <v>37.6</v>
      </c>
      <c r="N75" s="48"/>
      <c r="O75" s="46"/>
    </row>
    <row r="76" spans="7:15">
      <c r="G76">
        <v>71</v>
      </c>
      <c r="H76" s="72">
        <v>13</v>
      </c>
      <c r="I76" s="66">
        <f t="shared" si="4"/>
        <v>26</v>
      </c>
      <c r="J76" s="46"/>
      <c r="K76" s="47"/>
      <c r="L76" s="72">
        <v>20</v>
      </c>
      <c r="M76" s="66">
        <f t="shared" si="5"/>
        <v>40</v>
      </c>
      <c r="N76" s="48"/>
      <c r="O76" s="46"/>
    </row>
    <row r="77" spans="7:15">
      <c r="G77">
        <v>72</v>
      </c>
      <c r="H77" s="72">
        <v>13</v>
      </c>
      <c r="I77" s="66">
        <f t="shared" si="4"/>
        <v>26</v>
      </c>
      <c r="J77" s="46"/>
      <c r="K77" s="47"/>
      <c r="L77" s="72">
        <v>20</v>
      </c>
      <c r="M77" s="66">
        <f t="shared" si="5"/>
        <v>40</v>
      </c>
      <c r="N77" s="48"/>
      <c r="O77" s="46"/>
    </row>
    <row r="78" spans="7:15">
      <c r="G78">
        <v>73</v>
      </c>
      <c r="H78" s="72">
        <v>13</v>
      </c>
      <c r="I78" s="66">
        <f t="shared" si="4"/>
        <v>26</v>
      </c>
      <c r="J78" s="46"/>
      <c r="K78" s="47"/>
      <c r="L78" s="72">
        <v>20</v>
      </c>
      <c r="M78" s="66">
        <f t="shared" si="5"/>
        <v>40</v>
      </c>
      <c r="N78" s="48"/>
      <c r="O78" s="46"/>
    </row>
    <row r="79" spans="7:15">
      <c r="G79">
        <v>74</v>
      </c>
      <c r="H79" s="72">
        <v>13</v>
      </c>
      <c r="I79" s="66">
        <f t="shared" si="4"/>
        <v>26</v>
      </c>
      <c r="J79" s="46"/>
      <c r="K79" s="47"/>
      <c r="L79" s="72">
        <v>20</v>
      </c>
      <c r="M79" s="66">
        <f t="shared" si="5"/>
        <v>40</v>
      </c>
      <c r="N79" s="48"/>
      <c r="O79" s="46"/>
    </row>
    <row r="80" spans="7:15">
      <c r="G80">
        <v>75</v>
      </c>
      <c r="H80" s="72">
        <v>13</v>
      </c>
      <c r="I80" s="66">
        <f t="shared" si="4"/>
        <v>26</v>
      </c>
      <c r="J80" s="46"/>
      <c r="K80" s="47"/>
      <c r="L80" s="72">
        <v>20</v>
      </c>
      <c r="M80" s="66">
        <f t="shared" si="5"/>
        <v>40</v>
      </c>
      <c r="N80" s="48"/>
      <c r="O80" s="46"/>
    </row>
    <row r="81" spans="7:15">
      <c r="G81">
        <v>76</v>
      </c>
      <c r="H81" s="72">
        <v>13.8</v>
      </c>
      <c r="I81" s="66">
        <f t="shared" si="4"/>
        <v>27.6</v>
      </c>
      <c r="J81" s="46"/>
      <c r="K81" s="47"/>
      <c r="L81" s="72">
        <v>21.2</v>
      </c>
      <c r="M81" s="66">
        <f t="shared" si="5"/>
        <v>42.4</v>
      </c>
      <c r="N81" s="48"/>
      <c r="O81" s="46"/>
    </row>
    <row r="82" spans="7:15">
      <c r="G82">
        <v>77</v>
      </c>
      <c r="H82" s="72">
        <v>13.8</v>
      </c>
      <c r="I82" s="66">
        <f t="shared" si="4"/>
        <v>27.6</v>
      </c>
      <c r="J82" s="46"/>
      <c r="K82" s="47"/>
      <c r="L82" s="72">
        <v>21.2</v>
      </c>
      <c r="M82" s="66">
        <f t="shared" si="5"/>
        <v>42.4</v>
      </c>
      <c r="N82" s="48"/>
      <c r="O82" s="46"/>
    </row>
    <row r="83" spans="7:15">
      <c r="G83">
        <v>78</v>
      </c>
      <c r="H83" s="72">
        <v>13.8</v>
      </c>
      <c r="I83" s="66">
        <f t="shared" si="4"/>
        <v>27.6</v>
      </c>
      <c r="J83" s="46"/>
      <c r="K83" s="47"/>
      <c r="L83" s="72">
        <v>21.2</v>
      </c>
      <c r="M83" s="66">
        <f t="shared" si="5"/>
        <v>42.4</v>
      </c>
      <c r="N83" s="48"/>
      <c r="O83" s="46"/>
    </row>
    <row r="84" spans="7:15">
      <c r="G84">
        <v>79</v>
      </c>
      <c r="H84" s="72">
        <v>13.8</v>
      </c>
      <c r="I84" s="66">
        <f t="shared" si="4"/>
        <v>27.6</v>
      </c>
      <c r="J84" s="46"/>
      <c r="K84" s="47"/>
      <c r="L84" s="72">
        <v>21.2</v>
      </c>
      <c r="M84" s="66">
        <f t="shared" si="5"/>
        <v>42.4</v>
      </c>
      <c r="N84" s="48"/>
      <c r="O84" s="46"/>
    </row>
    <row r="85" spans="7:15">
      <c r="G85">
        <v>80</v>
      </c>
      <c r="H85" s="72">
        <v>13.8</v>
      </c>
      <c r="I85" s="66">
        <f t="shared" si="4"/>
        <v>27.6</v>
      </c>
      <c r="J85" s="46"/>
      <c r="K85" s="47"/>
      <c r="L85" s="72">
        <v>21.2</v>
      </c>
      <c r="M85" s="66">
        <f t="shared" si="5"/>
        <v>42.4</v>
      </c>
      <c r="N85" s="48"/>
      <c r="O85" s="46"/>
    </row>
    <row r="86" spans="7:15">
      <c r="G86">
        <v>81</v>
      </c>
      <c r="H86" s="72">
        <v>14.6</v>
      </c>
      <c r="I86" s="66">
        <f t="shared" si="4"/>
        <v>29.2</v>
      </c>
      <c r="J86" s="46"/>
      <c r="K86" s="47"/>
      <c r="L86" s="72">
        <v>22.5</v>
      </c>
      <c r="M86" s="66">
        <f t="shared" si="5"/>
        <v>45</v>
      </c>
      <c r="N86" s="48"/>
      <c r="O86" s="46"/>
    </row>
    <row r="87" spans="7:15">
      <c r="G87">
        <v>82</v>
      </c>
      <c r="H87" s="72">
        <v>14.6</v>
      </c>
      <c r="I87" s="66">
        <f t="shared" si="4"/>
        <v>29.2</v>
      </c>
      <c r="J87" s="46"/>
      <c r="K87" s="47"/>
      <c r="L87" s="72">
        <v>22.5</v>
      </c>
      <c r="M87" s="66">
        <f t="shared" si="5"/>
        <v>45</v>
      </c>
      <c r="N87" s="48"/>
      <c r="O87" s="46"/>
    </row>
    <row r="88" spans="7:15">
      <c r="G88">
        <v>83</v>
      </c>
      <c r="H88" s="72">
        <v>14.6</v>
      </c>
      <c r="I88" s="66">
        <f t="shared" si="4"/>
        <v>29.2</v>
      </c>
      <c r="J88" s="46"/>
      <c r="K88" s="47"/>
      <c r="L88" s="72">
        <v>22.5</v>
      </c>
      <c r="M88" s="66">
        <f t="shared" si="5"/>
        <v>45</v>
      </c>
      <c r="N88" s="48"/>
      <c r="O88" s="46"/>
    </row>
    <row r="89" spans="7:15">
      <c r="G89">
        <v>84</v>
      </c>
      <c r="H89" s="72">
        <v>14.6</v>
      </c>
      <c r="I89" s="66">
        <f t="shared" si="4"/>
        <v>29.2</v>
      </c>
      <c r="J89" s="46"/>
      <c r="K89" s="47"/>
      <c r="L89" s="72">
        <v>22.5</v>
      </c>
      <c r="M89" s="66">
        <f t="shared" si="5"/>
        <v>45</v>
      </c>
      <c r="N89" s="48"/>
      <c r="O89" s="46"/>
    </row>
    <row r="90" spans="7:15">
      <c r="G90">
        <v>85</v>
      </c>
      <c r="H90" s="72">
        <v>14.6</v>
      </c>
      <c r="I90" s="66">
        <f t="shared" si="4"/>
        <v>29.2</v>
      </c>
      <c r="J90" s="46"/>
      <c r="K90" s="47"/>
      <c r="L90" s="72">
        <v>22.5</v>
      </c>
      <c r="M90" s="66">
        <f t="shared" si="5"/>
        <v>45</v>
      </c>
      <c r="N90" s="48"/>
      <c r="O90" s="46"/>
    </row>
    <row r="91" spans="7:15">
      <c r="G91">
        <v>86</v>
      </c>
      <c r="H91" s="72">
        <v>15.4</v>
      </c>
      <c r="I91" s="66">
        <f t="shared" si="4"/>
        <v>30.8</v>
      </c>
      <c r="J91" s="46"/>
      <c r="K91" s="47"/>
      <c r="L91" s="72">
        <v>23.7</v>
      </c>
      <c r="M91" s="66">
        <f t="shared" si="5"/>
        <v>47.4</v>
      </c>
      <c r="N91" s="48"/>
      <c r="O91" s="46"/>
    </row>
    <row r="92" spans="7:15">
      <c r="G92">
        <v>87</v>
      </c>
      <c r="H92" s="72">
        <v>15.4</v>
      </c>
      <c r="I92" s="66">
        <f t="shared" si="4"/>
        <v>30.8</v>
      </c>
      <c r="J92" s="46"/>
      <c r="K92" s="47"/>
      <c r="L92" s="72">
        <v>23.7</v>
      </c>
      <c r="M92" s="66">
        <f t="shared" si="5"/>
        <v>47.4</v>
      </c>
      <c r="N92" s="48"/>
      <c r="O92" s="46"/>
    </row>
    <row r="93" spans="7:15">
      <c r="G93">
        <v>88</v>
      </c>
      <c r="H93" s="72">
        <v>15.4</v>
      </c>
      <c r="I93" s="66">
        <f t="shared" si="4"/>
        <v>30.8</v>
      </c>
      <c r="J93" s="46"/>
      <c r="K93" s="47"/>
      <c r="L93" s="72">
        <v>23.7</v>
      </c>
      <c r="M93" s="66">
        <f t="shared" si="5"/>
        <v>47.4</v>
      </c>
      <c r="N93" s="48"/>
      <c r="O93" s="46"/>
    </row>
    <row r="94" spans="7:15">
      <c r="G94">
        <v>89</v>
      </c>
      <c r="H94" s="72">
        <v>15.4</v>
      </c>
      <c r="I94" s="66">
        <f t="shared" si="4"/>
        <v>30.8</v>
      </c>
      <c r="J94" s="46"/>
      <c r="K94" s="47"/>
      <c r="L94" s="72">
        <v>23.7</v>
      </c>
      <c r="M94" s="66">
        <f t="shared" si="5"/>
        <v>47.4</v>
      </c>
      <c r="N94" s="48"/>
      <c r="O94" s="46"/>
    </row>
    <row r="95" spans="7:15">
      <c r="G95">
        <v>90</v>
      </c>
      <c r="H95" s="72">
        <v>15.4</v>
      </c>
      <c r="I95" s="66">
        <f t="shared" si="4"/>
        <v>30.8</v>
      </c>
      <c r="J95" s="46"/>
      <c r="K95" s="47"/>
      <c r="L95" s="72">
        <v>23.7</v>
      </c>
      <c r="M95" s="66">
        <f t="shared" si="5"/>
        <v>47.4</v>
      </c>
      <c r="N95" s="48"/>
      <c r="O95" s="46"/>
    </row>
    <row r="96" spans="7:15">
      <c r="G96">
        <v>91</v>
      </c>
      <c r="H96" s="72">
        <v>16.2</v>
      </c>
      <c r="I96" s="66">
        <f t="shared" si="4"/>
        <v>32.4</v>
      </c>
      <c r="J96" s="46"/>
      <c r="K96" s="47"/>
      <c r="L96" s="72">
        <v>24.9</v>
      </c>
      <c r="M96" s="66">
        <f t="shared" si="5"/>
        <v>49.8</v>
      </c>
      <c r="N96" s="48"/>
      <c r="O96" s="46"/>
    </row>
    <row r="97" spans="7:15">
      <c r="G97">
        <v>92</v>
      </c>
      <c r="H97" s="72">
        <v>16.2</v>
      </c>
      <c r="I97" s="66">
        <f t="shared" si="4"/>
        <v>32.4</v>
      </c>
      <c r="J97" s="46"/>
      <c r="K97" s="47"/>
      <c r="L97" s="72">
        <v>24.9</v>
      </c>
      <c r="M97" s="66">
        <f t="shared" si="5"/>
        <v>49.8</v>
      </c>
      <c r="N97" s="48"/>
      <c r="O97" s="46"/>
    </row>
    <row r="98" spans="7:15">
      <c r="G98">
        <v>93</v>
      </c>
      <c r="H98" s="72">
        <v>16.2</v>
      </c>
      <c r="I98" s="66">
        <f t="shared" si="4"/>
        <v>32.4</v>
      </c>
      <c r="J98" s="46"/>
      <c r="K98" s="47"/>
      <c r="L98" s="72">
        <v>24.9</v>
      </c>
      <c r="M98" s="66">
        <f t="shared" si="5"/>
        <v>49.8</v>
      </c>
      <c r="N98" s="48"/>
      <c r="O98" s="46"/>
    </row>
    <row r="99" spans="7:15">
      <c r="G99">
        <v>94</v>
      </c>
      <c r="H99" s="72">
        <v>16.2</v>
      </c>
      <c r="I99" s="66">
        <f t="shared" si="4"/>
        <v>32.4</v>
      </c>
      <c r="J99" s="46"/>
      <c r="K99" s="47"/>
      <c r="L99" s="72">
        <v>24.9</v>
      </c>
      <c r="M99" s="66">
        <f t="shared" si="5"/>
        <v>49.8</v>
      </c>
      <c r="N99" s="48"/>
      <c r="O99" s="46"/>
    </row>
    <row r="100" spans="7:15">
      <c r="G100">
        <v>95</v>
      </c>
      <c r="H100" s="72">
        <v>16.2</v>
      </c>
      <c r="I100" s="66">
        <f t="shared" si="4"/>
        <v>32.4</v>
      </c>
      <c r="J100" s="46"/>
      <c r="K100" s="47"/>
      <c r="L100" s="72">
        <v>24.9</v>
      </c>
      <c r="M100" s="66">
        <f t="shared" si="5"/>
        <v>49.8</v>
      </c>
      <c r="N100" s="48"/>
      <c r="O100" s="46"/>
    </row>
    <row r="101" spans="7:15">
      <c r="G101">
        <v>96</v>
      </c>
      <c r="H101" s="72">
        <v>17</v>
      </c>
      <c r="I101" s="66">
        <f t="shared" si="4"/>
        <v>34</v>
      </c>
      <c r="J101" s="46"/>
      <c r="K101" s="47"/>
      <c r="L101" s="72">
        <v>26</v>
      </c>
      <c r="M101" s="66">
        <f t="shared" si="5"/>
        <v>52</v>
      </c>
      <c r="N101" s="48"/>
      <c r="O101" s="46"/>
    </row>
    <row r="102" spans="7:15">
      <c r="G102">
        <v>97</v>
      </c>
      <c r="H102" s="72">
        <v>17</v>
      </c>
      <c r="I102" s="66">
        <f t="shared" ref="I102:I133" si="6">H102*$Q$1</f>
        <v>34</v>
      </c>
      <c r="J102" s="46"/>
      <c r="K102" s="47"/>
      <c r="L102" s="72">
        <v>26</v>
      </c>
      <c r="M102" s="66">
        <f t="shared" ref="M102:M133" si="7">L102*$Q$1</f>
        <v>52</v>
      </c>
      <c r="N102" s="48"/>
      <c r="O102" s="46"/>
    </row>
    <row r="103" spans="7:15">
      <c r="G103">
        <v>98</v>
      </c>
      <c r="H103" s="72">
        <v>17</v>
      </c>
      <c r="I103" s="66">
        <f t="shared" si="6"/>
        <v>34</v>
      </c>
      <c r="J103" s="46"/>
      <c r="K103" s="47"/>
      <c r="L103" s="72">
        <v>26</v>
      </c>
      <c r="M103" s="66">
        <f t="shared" si="7"/>
        <v>52</v>
      </c>
      <c r="N103" s="48"/>
      <c r="O103" s="46"/>
    </row>
    <row r="104" spans="7:15">
      <c r="G104">
        <v>99</v>
      </c>
      <c r="H104" s="72">
        <v>17</v>
      </c>
      <c r="I104" s="66">
        <f t="shared" si="6"/>
        <v>34</v>
      </c>
      <c r="J104" s="46"/>
      <c r="K104" s="47"/>
      <c r="L104" s="72">
        <v>26</v>
      </c>
      <c r="M104" s="66">
        <f t="shared" si="7"/>
        <v>52</v>
      </c>
      <c r="N104" s="48"/>
      <c r="O104" s="46"/>
    </row>
    <row r="105" spans="7:15">
      <c r="G105">
        <v>100</v>
      </c>
      <c r="H105" s="72">
        <v>17</v>
      </c>
      <c r="I105" s="66">
        <f t="shared" si="6"/>
        <v>34</v>
      </c>
      <c r="J105" s="46"/>
      <c r="K105" s="47"/>
      <c r="L105" s="72">
        <v>26</v>
      </c>
      <c r="M105" s="66">
        <f t="shared" si="7"/>
        <v>52</v>
      </c>
      <c r="N105" s="48"/>
      <c r="O105" s="46"/>
    </row>
    <row r="106" spans="7:15">
      <c r="G106">
        <v>101</v>
      </c>
      <c r="H106" s="72">
        <v>17.8</v>
      </c>
      <c r="I106" s="66">
        <f t="shared" si="6"/>
        <v>35.6</v>
      </c>
      <c r="J106" s="46"/>
      <c r="K106" s="47"/>
      <c r="L106" s="72">
        <v>27.5</v>
      </c>
      <c r="M106" s="66">
        <f t="shared" si="7"/>
        <v>55</v>
      </c>
      <c r="N106" s="48"/>
      <c r="O106" s="46"/>
    </row>
    <row r="107" spans="7:15">
      <c r="G107">
        <v>102</v>
      </c>
      <c r="H107" s="72">
        <v>17.8</v>
      </c>
      <c r="I107" s="66">
        <f t="shared" si="6"/>
        <v>35.6</v>
      </c>
      <c r="J107" s="46"/>
      <c r="K107" s="47"/>
      <c r="L107" s="72">
        <v>27.5</v>
      </c>
      <c r="M107" s="66">
        <f t="shared" si="7"/>
        <v>55</v>
      </c>
      <c r="N107" s="48"/>
      <c r="O107" s="46"/>
    </row>
    <row r="108" spans="7:15">
      <c r="G108">
        <v>103</v>
      </c>
      <c r="H108" s="72">
        <v>17.8</v>
      </c>
      <c r="I108" s="66">
        <f t="shared" si="6"/>
        <v>35.6</v>
      </c>
      <c r="J108" s="46"/>
      <c r="K108" s="47"/>
      <c r="L108" s="72">
        <v>27.5</v>
      </c>
      <c r="M108" s="66">
        <f t="shared" si="7"/>
        <v>55</v>
      </c>
      <c r="N108" s="48"/>
      <c r="O108" s="46"/>
    </row>
    <row r="109" spans="7:15">
      <c r="G109">
        <v>104</v>
      </c>
      <c r="H109" s="72">
        <v>17.8</v>
      </c>
      <c r="I109" s="66">
        <f t="shared" si="6"/>
        <v>35.6</v>
      </c>
      <c r="J109" s="46"/>
      <c r="K109" s="47"/>
      <c r="L109" s="72">
        <v>27.5</v>
      </c>
      <c r="M109" s="66">
        <f t="shared" si="7"/>
        <v>55</v>
      </c>
      <c r="N109" s="48"/>
      <c r="O109" s="46"/>
    </row>
    <row r="110" spans="7:15">
      <c r="G110">
        <v>105</v>
      </c>
      <c r="H110" s="72">
        <v>17.8</v>
      </c>
      <c r="I110" s="66">
        <f t="shared" si="6"/>
        <v>35.6</v>
      </c>
      <c r="J110" s="46"/>
      <c r="K110" s="47"/>
      <c r="L110" s="72">
        <v>27.5</v>
      </c>
      <c r="M110" s="66">
        <f t="shared" si="7"/>
        <v>55</v>
      </c>
      <c r="N110" s="48"/>
      <c r="O110" s="46"/>
    </row>
    <row r="111" spans="7:15">
      <c r="G111">
        <v>106</v>
      </c>
      <c r="H111" s="72">
        <v>18.600000000000001</v>
      </c>
      <c r="I111" s="66">
        <f t="shared" si="6"/>
        <v>37.200000000000003</v>
      </c>
      <c r="J111" s="46"/>
      <c r="K111" s="47"/>
      <c r="L111" s="72">
        <v>28.5</v>
      </c>
      <c r="M111" s="66">
        <f t="shared" si="7"/>
        <v>57</v>
      </c>
      <c r="N111" s="48"/>
      <c r="O111" s="46"/>
    </row>
    <row r="112" spans="7:15">
      <c r="G112">
        <v>107</v>
      </c>
      <c r="H112" s="72">
        <v>18.600000000000001</v>
      </c>
      <c r="I112" s="66">
        <f t="shared" si="6"/>
        <v>37.200000000000003</v>
      </c>
      <c r="J112" s="46"/>
      <c r="K112" s="47"/>
      <c r="L112" s="72">
        <v>28.5</v>
      </c>
      <c r="M112" s="66">
        <f t="shared" si="7"/>
        <v>57</v>
      </c>
      <c r="N112" s="48"/>
      <c r="O112" s="46"/>
    </row>
    <row r="113" spans="7:15">
      <c r="G113">
        <v>108</v>
      </c>
      <c r="H113" s="72">
        <v>18.600000000000001</v>
      </c>
      <c r="I113" s="66">
        <f t="shared" si="6"/>
        <v>37.200000000000003</v>
      </c>
      <c r="J113" s="46"/>
      <c r="K113" s="47"/>
      <c r="L113" s="72">
        <v>28.5</v>
      </c>
      <c r="M113" s="66">
        <f t="shared" si="7"/>
        <v>57</v>
      </c>
      <c r="N113" s="48"/>
      <c r="O113" s="46"/>
    </row>
    <row r="114" spans="7:15">
      <c r="G114">
        <v>109</v>
      </c>
      <c r="H114" s="72">
        <v>18.600000000000001</v>
      </c>
      <c r="I114" s="66">
        <f t="shared" si="6"/>
        <v>37.200000000000003</v>
      </c>
      <c r="J114" s="46"/>
      <c r="K114" s="47"/>
      <c r="L114" s="72">
        <v>28.5</v>
      </c>
      <c r="M114" s="66">
        <f t="shared" si="7"/>
        <v>57</v>
      </c>
      <c r="N114" s="48"/>
      <c r="O114" s="46"/>
    </row>
    <row r="115" spans="7:15">
      <c r="G115">
        <v>110</v>
      </c>
      <c r="H115" s="72">
        <v>18.600000000000001</v>
      </c>
      <c r="I115" s="66">
        <f t="shared" si="6"/>
        <v>37.200000000000003</v>
      </c>
      <c r="J115" s="46"/>
      <c r="K115" s="47"/>
      <c r="L115" s="72">
        <v>28.5</v>
      </c>
      <c r="M115" s="66">
        <f t="shared" si="7"/>
        <v>57</v>
      </c>
      <c r="N115" s="48"/>
      <c r="O115" s="46"/>
    </row>
    <row r="116" spans="7:15">
      <c r="G116">
        <v>111</v>
      </c>
      <c r="H116" s="72">
        <v>19.399999999999999</v>
      </c>
      <c r="I116" s="66">
        <f t="shared" si="6"/>
        <v>38.799999999999997</v>
      </c>
      <c r="J116" s="46"/>
      <c r="K116" s="47"/>
      <c r="L116" s="72">
        <v>30</v>
      </c>
      <c r="M116" s="66">
        <f t="shared" si="7"/>
        <v>60</v>
      </c>
      <c r="N116" s="48"/>
      <c r="O116" s="46"/>
    </row>
    <row r="117" spans="7:15">
      <c r="G117">
        <v>112</v>
      </c>
      <c r="H117" s="72">
        <v>19.399999999999999</v>
      </c>
      <c r="I117" s="66">
        <f t="shared" si="6"/>
        <v>38.799999999999997</v>
      </c>
      <c r="J117" s="46"/>
      <c r="K117" s="47"/>
      <c r="L117" s="72">
        <v>30</v>
      </c>
      <c r="M117" s="66">
        <f t="shared" si="7"/>
        <v>60</v>
      </c>
      <c r="N117" s="48"/>
      <c r="O117" s="46"/>
    </row>
    <row r="118" spans="7:15">
      <c r="G118">
        <v>113</v>
      </c>
      <c r="H118" s="72">
        <v>19.399999999999999</v>
      </c>
      <c r="I118" s="66">
        <f t="shared" si="6"/>
        <v>38.799999999999997</v>
      </c>
      <c r="J118" s="46"/>
      <c r="K118" s="47"/>
      <c r="L118" s="72">
        <v>30</v>
      </c>
      <c r="M118" s="66">
        <f t="shared" si="7"/>
        <v>60</v>
      </c>
      <c r="N118" s="48"/>
      <c r="O118" s="46"/>
    </row>
    <row r="119" spans="7:15">
      <c r="G119">
        <v>114</v>
      </c>
      <c r="H119" s="72">
        <v>19.399999999999999</v>
      </c>
      <c r="I119" s="66">
        <f t="shared" si="6"/>
        <v>38.799999999999997</v>
      </c>
      <c r="J119" s="46"/>
      <c r="K119" s="47"/>
      <c r="L119" s="72">
        <v>30</v>
      </c>
      <c r="M119" s="66">
        <f t="shared" si="7"/>
        <v>60</v>
      </c>
      <c r="N119" s="48"/>
      <c r="O119" s="46"/>
    </row>
    <row r="120" spans="7:15">
      <c r="G120">
        <v>115</v>
      </c>
      <c r="H120" s="72">
        <v>19.399999999999999</v>
      </c>
      <c r="I120" s="66">
        <f t="shared" si="6"/>
        <v>38.799999999999997</v>
      </c>
      <c r="J120" s="46"/>
      <c r="K120" s="47"/>
      <c r="L120" s="72">
        <v>30</v>
      </c>
      <c r="M120" s="66">
        <f t="shared" si="7"/>
        <v>60</v>
      </c>
      <c r="N120" s="48"/>
      <c r="O120" s="46"/>
    </row>
    <row r="121" spans="7:15">
      <c r="G121">
        <v>116</v>
      </c>
      <c r="H121" s="72">
        <v>20.2</v>
      </c>
      <c r="I121" s="66">
        <f t="shared" si="6"/>
        <v>40.4</v>
      </c>
      <c r="J121" s="46"/>
      <c r="K121" s="47"/>
      <c r="L121" s="72">
        <v>31</v>
      </c>
      <c r="M121" s="66">
        <f t="shared" si="7"/>
        <v>62</v>
      </c>
      <c r="N121" s="48"/>
      <c r="O121" s="46"/>
    </row>
    <row r="122" spans="7:15">
      <c r="G122">
        <v>117</v>
      </c>
      <c r="H122" s="72">
        <v>20.2</v>
      </c>
      <c r="I122" s="66">
        <f t="shared" si="6"/>
        <v>40.4</v>
      </c>
      <c r="J122" s="46"/>
      <c r="K122" s="47"/>
      <c r="L122" s="72">
        <v>31</v>
      </c>
      <c r="M122" s="66">
        <f t="shared" si="7"/>
        <v>62</v>
      </c>
      <c r="N122" s="48"/>
      <c r="O122" s="46"/>
    </row>
    <row r="123" spans="7:15">
      <c r="G123">
        <v>118</v>
      </c>
      <c r="H123" s="72">
        <v>20.2</v>
      </c>
      <c r="I123" s="66">
        <f t="shared" si="6"/>
        <v>40.4</v>
      </c>
      <c r="J123" s="46"/>
      <c r="K123" s="47"/>
      <c r="L123" s="72">
        <v>31</v>
      </c>
      <c r="M123" s="66">
        <f t="shared" si="7"/>
        <v>62</v>
      </c>
      <c r="N123" s="48"/>
      <c r="O123" s="46"/>
    </row>
    <row r="124" spans="7:15">
      <c r="G124">
        <v>119</v>
      </c>
      <c r="H124" s="72">
        <v>20.2</v>
      </c>
      <c r="I124" s="66">
        <f t="shared" si="6"/>
        <v>40.4</v>
      </c>
      <c r="J124" s="46"/>
      <c r="K124" s="47"/>
      <c r="L124" s="72">
        <v>31</v>
      </c>
      <c r="M124" s="66">
        <f t="shared" si="7"/>
        <v>62</v>
      </c>
      <c r="N124" s="48"/>
      <c r="O124" s="46"/>
    </row>
    <row r="125" spans="7:15">
      <c r="G125">
        <v>120</v>
      </c>
      <c r="H125" s="72">
        <v>20.2</v>
      </c>
      <c r="I125" s="66">
        <f t="shared" si="6"/>
        <v>40.4</v>
      </c>
      <c r="J125" s="46"/>
      <c r="K125" s="47"/>
      <c r="L125" s="72">
        <v>31</v>
      </c>
      <c r="M125" s="66">
        <f t="shared" si="7"/>
        <v>62</v>
      </c>
      <c r="N125" s="48"/>
      <c r="O125" s="46"/>
    </row>
    <row r="126" spans="7:15">
      <c r="G126">
        <v>121</v>
      </c>
      <c r="H126" s="72">
        <v>21</v>
      </c>
      <c r="I126" s="66">
        <f t="shared" si="6"/>
        <v>42</v>
      </c>
      <c r="J126" s="46"/>
      <c r="K126" s="47"/>
      <c r="L126" s="72">
        <v>32.5</v>
      </c>
      <c r="M126" s="66">
        <f t="shared" si="7"/>
        <v>65</v>
      </c>
      <c r="N126" s="48"/>
      <c r="O126" s="46"/>
    </row>
    <row r="127" spans="7:15">
      <c r="G127">
        <v>122</v>
      </c>
      <c r="H127" s="72">
        <v>21</v>
      </c>
      <c r="I127" s="66">
        <f t="shared" si="6"/>
        <v>42</v>
      </c>
      <c r="J127" s="46"/>
      <c r="K127" s="47"/>
      <c r="L127" s="72">
        <v>32.5</v>
      </c>
      <c r="M127" s="66">
        <f t="shared" si="7"/>
        <v>65</v>
      </c>
      <c r="N127" s="48"/>
      <c r="O127" s="46"/>
    </row>
    <row r="128" spans="7:15">
      <c r="G128">
        <v>123</v>
      </c>
      <c r="H128" s="72">
        <v>21</v>
      </c>
      <c r="I128" s="66">
        <f t="shared" si="6"/>
        <v>42</v>
      </c>
      <c r="J128" s="46"/>
      <c r="K128" s="47"/>
      <c r="L128" s="72">
        <v>32.5</v>
      </c>
      <c r="M128" s="66">
        <f t="shared" si="7"/>
        <v>65</v>
      </c>
      <c r="N128" s="48"/>
      <c r="O128" s="46"/>
    </row>
    <row r="129" spans="7:15">
      <c r="G129">
        <v>124</v>
      </c>
      <c r="H129" s="72">
        <v>21</v>
      </c>
      <c r="I129" s="66">
        <f t="shared" si="6"/>
        <v>42</v>
      </c>
      <c r="J129" s="46"/>
      <c r="K129" s="47"/>
      <c r="L129" s="72">
        <v>32.5</v>
      </c>
      <c r="M129" s="66">
        <f t="shared" si="7"/>
        <v>65</v>
      </c>
      <c r="N129" s="48"/>
      <c r="O129" s="46"/>
    </row>
    <row r="130" spans="7:15">
      <c r="G130">
        <v>125</v>
      </c>
      <c r="H130" s="72">
        <v>21</v>
      </c>
      <c r="I130" s="66">
        <f t="shared" si="6"/>
        <v>42</v>
      </c>
      <c r="J130" s="46"/>
      <c r="K130" s="47"/>
      <c r="L130" s="72">
        <v>32.5</v>
      </c>
      <c r="M130" s="66">
        <f t="shared" si="7"/>
        <v>65</v>
      </c>
      <c r="N130" s="48"/>
      <c r="O130" s="46"/>
    </row>
    <row r="131" spans="7:15">
      <c r="G131">
        <v>126</v>
      </c>
      <c r="H131" s="72">
        <v>21.8</v>
      </c>
      <c r="I131" s="66">
        <f t="shared" si="6"/>
        <v>43.6</v>
      </c>
      <c r="J131" s="46"/>
      <c r="K131" s="47"/>
      <c r="L131" s="72">
        <v>33.5</v>
      </c>
      <c r="M131" s="66">
        <f t="shared" si="7"/>
        <v>67</v>
      </c>
      <c r="N131" s="48"/>
      <c r="O131" s="46"/>
    </row>
    <row r="132" spans="7:15">
      <c r="G132">
        <v>127</v>
      </c>
      <c r="H132" s="72">
        <v>21.8</v>
      </c>
      <c r="I132" s="66">
        <f t="shared" si="6"/>
        <v>43.6</v>
      </c>
      <c r="J132" s="46"/>
      <c r="K132" s="47"/>
      <c r="L132" s="72">
        <v>33.5</v>
      </c>
      <c r="M132" s="66">
        <f t="shared" si="7"/>
        <v>67</v>
      </c>
      <c r="N132" s="48"/>
      <c r="O132" s="46"/>
    </row>
    <row r="133" spans="7:15">
      <c r="G133">
        <v>128</v>
      </c>
      <c r="H133" s="72">
        <v>21.8</v>
      </c>
      <c r="I133" s="66">
        <f t="shared" si="6"/>
        <v>43.6</v>
      </c>
      <c r="J133" s="46"/>
      <c r="K133" s="47"/>
      <c r="L133" s="72">
        <v>33.5</v>
      </c>
      <c r="M133" s="66">
        <f t="shared" si="7"/>
        <v>67</v>
      </c>
      <c r="N133" s="48"/>
      <c r="O133" s="46"/>
    </row>
    <row r="134" spans="7:15">
      <c r="G134">
        <v>129</v>
      </c>
      <c r="H134" s="72">
        <v>21.8</v>
      </c>
      <c r="I134" s="66">
        <f t="shared" ref="I134:I155" si="8">H134*$Q$1</f>
        <v>43.6</v>
      </c>
      <c r="J134" s="46"/>
      <c r="K134" s="47"/>
      <c r="L134" s="72">
        <v>33.5</v>
      </c>
      <c r="M134" s="66">
        <f t="shared" ref="M134:M155" si="9">L134*$Q$1</f>
        <v>67</v>
      </c>
      <c r="N134" s="48"/>
      <c r="O134" s="46"/>
    </row>
    <row r="135" spans="7:15">
      <c r="G135">
        <v>130</v>
      </c>
      <c r="H135" s="72">
        <v>21.8</v>
      </c>
      <c r="I135" s="66">
        <f t="shared" si="8"/>
        <v>43.6</v>
      </c>
      <c r="J135" s="46"/>
      <c r="K135" s="47"/>
      <c r="L135" s="72">
        <v>33.5</v>
      </c>
      <c r="M135" s="66">
        <f t="shared" si="9"/>
        <v>67</v>
      </c>
      <c r="N135" s="48"/>
      <c r="O135" s="46"/>
    </row>
    <row r="136" spans="7:15">
      <c r="G136">
        <v>131</v>
      </c>
      <c r="H136" s="72">
        <v>22.6</v>
      </c>
      <c r="I136" s="66">
        <f t="shared" si="8"/>
        <v>45.2</v>
      </c>
      <c r="J136" s="46"/>
      <c r="K136" s="47"/>
      <c r="L136" s="72">
        <v>34.5</v>
      </c>
      <c r="M136" s="66">
        <f t="shared" si="9"/>
        <v>69</v>
      </c>
      <c r="N136" s="48"/>
      <c r="O136" s="46"/>
    </row>
    <row r="137" spans="7:15">
      <c r="G137">
        <v>132</v>
      </c>
      <c r="H137" s="72">
        <v>22.6</v>
      </c>
      <c r="I137" s="66">
        <f t="shared" si="8"/>
        <v>45.2</v>
      </c>
      <c r="J137" s="46"/>
      <c r="K137" s="47"/>
      <c r="L137" s="72">
        <v>34.5</v>
      </c>
      <c r="M137" s="66">
        <f t="shared" si="9"/>
        <v>69</v>
      </c>
      <c r="N137" s="48"/>
      <c r="O137" s="46"/>
    </row>
    <row r="138" spans="7:15">
      <c r="G138">
        <v>133</v>
      </c>
      <c r="H138" s="72">
        <v>22.6</v>
      </c>
      <c r="I138" s="66">
        <f t="shared" si="8"/>
        <v>45.2</v>
      </c>
      <c r="J138" s="46"/>
      <c r="K138" s="47"/>
      <c r="L138" s="72">
        <v>34.5</v>
      </c>
      <c r="M138" s="66">
        <f t="shared" si="9"/>
        <v>69</v>
      </c>
      <c r="N138" s="48"/>
      <c r="O138" s="46"/>
    </row>
    <row r="139" spans="7:15">
      <c r="G139">
        <v>134</v>
      </c>
      <c r="H139" s="72">
        <v>22.6</v>
      </c>
      <c r="I139" s="66">
        <f t="shared" si="8"/>
        <v>45.2</v>
      </c>
      <c r="J139" s="46"/>
      <c r="K139" s="47"/>
      <c r="L139" s="72">
        <v>34.5</v>
      </c>
      <c r="M139" s="66">
        <f t="shared" si="9"/>
        <v>69</v>
      </c>
      <c r="N139" s="48"/>
      <c r="O139" s="46"/>
    </row>
    <row r="140" spans="7:15">
      <c r="G140">
        <v>135</v>
      </c>
      <c r="H140" s="72">
        <v>22.6</v>
      </c>
      <c r="I140" s="66">
        <f t="shared" si="8"/>
        <v>45.2</v>
      </c>
      <c r="J140" s="46"/>
      <c r="K140" s="47"/>
      <c r="L140" s="72">
        <v>34.5</v>
      </c>
      <c r="M140" s="66">
        <f t="shared" si="9"/>
        <v>69</v>
      </c>
      <c r="N140" s="48"/>
      <c r="O140" s="46"/>
    </row>
    <row r="141" spans="7:15">
      <c r="G141">
        <v>136</v>
      </c>
      <c r="H141" s="72">
        <v>23.4</v>
      </c>
      <c r="I141" s="66">
        <f t="shared" si="8"/>
        <v>46.8</v>
      </c>
      <c r="J141" s="46"/>
      <c r="K141" s="47"/>
      <c r="L141" s="72">
        <v>36</v>
      </c>
      <c r="M141" s="66">
        <f t="shared" si="9"/>
        <v>72</v>
      </c>
      <c r="N141" s="48"/>
      <c r="O141" s="46"/>
    </row>
    <row r="142" spans="7:15">
      <c r="G142">
        <v>137</v>
      </c>
      <c r="H142" s="72">
        <v>23.4</v>
      </c>
      <c r="I142" s="66">
        <f t="shared" si="8"/>
        <v>46.8</v>
      </c>
      <c r="J142" s="46"/>
      <c r="K142" s="47"/>
      <c r="L142" s="72">
        <v>36</v>
      </c>
      <c r="M142" s="66">
        <f t="shared" si="9"/>
        <v>72</v>
      </c>
      <c r="N142" s="48"/>
      <c r="O142" s="46"/>
    </row>
    <row r="143" spans="7:15">
      <c r="G143">
        <v>138</v>
      </c>
      <c r="H143" s="72">
        <v>23.4</v>
      </c>
      <c r="I143" s="66">
        <f t="shared" si="8"/>
        <v>46.8</v>
      </c>
      <c r="J143" s="46"/>
      <c r="K143" s="47"/>
      <c r="L143" s="72">
        <v>36</v>
      </c>
      <c r="M143" s="66">
        <f t="shared" si="9"/>
        <v>72</v>
      </c>
      <c r="N143" s="48"/>
      <c r="O143" s="46"/>
    </row>
    <row r="144" spans="7:15">
      <c r="G144">
        <v>139</v>
      </c>
      <c r="H144" s="72">
        <v>23.4</v>
      </c>
      <c r="I144" s="66">
        <f t="shared" si="8"/>
        <v>46.8</v>
      </c>
      <c r="J144" s="46"/>
      <c r="K144" s="47"/>
      <c r="L144" s="72">
        <v>36</v>
      </c>
      <c r="M144" s="66">
        <f t="shared" si="9"/>
        <v>72</v>
      </c>
      <c r="N144" s="48"/>
      <c r="O144" s="46"/>
    </row>
    <row r="145" spans="7:15">
      <c r="G145">
        <v>140</v>
      </c>
      <c r="H145" s="72">
        <v>23.4</v>
      </c>
      <c r="I145" s="66">
        <f t="shared" si="8"/>
        <v>46.8</v>
      </c>
      <c r="J145" s="46"/>
      <c r="K145" s="47"/>
      <c r="L145" s="72">
        <v>36</v>
      </c>
      <c r="M145" s="66">
        <f t="shared" si="9"/>
        <v>72</v>
      </c>
      <c r="N145" s="48"/>
      <c r="O145" s="46"/>
    </row>
    <row r="146" spans="7:15">
      <c r="G146">
        <v>141</v>
      </c>
      <c r="H146" s="72">
        <v>24.2</v>
      </c>
      <c r="I146" s="66">
        <f t="shared" si="8"/>
        <v>48.4</v>
      </c>
      <c r="J146" s="46"/>
      <c r="K146" s="47"/>
      <c r="L146" s="72">
        <v>37</v>
      </c>
      <c r="M146" s="66">
        <f t="shared" si="9"/>
        <v>74</v>
      </c>
      <c r="N146" s="48"/>
      <c r="O146" s="46"/>
    </row>
    <row r="147" spans="7:15">
      <c r="G147">
        <v>142</v>
      </c>
      <c r="H147" s="72">
        <v>24.2</v>
      </c>
      <c r="I147" s="66">
        <f t="shared" si="8"/>
        <v>48.4</v>
      </c>
      <c r="J147" s="46"/>
      <c r="K147" s="47"/>
      <c r="L147" s="72">
        <v>37</v>
      </c>
      <c r="M147" s="66">
        <f t="shared" si="9"/>
        <v>74</v>
      </c>
      <c r="N147" s="48"/>
      <c r="O147" s="46"/>
    </row>
    <row r="148" spans="7:15">
      <c r="G148">
        <v>143</v>
      </c>
      <c r="H148" s="72">
        <v>24.2</v>
      </c>
      <c r="I148" s="66">
        <f t="shared" si="8"/>
        <v>48.4</v>
      </c>
      <c r="J148" s="46"/>
      <c r="K148" s="47"/>
      <c r="L148" s="72">
        <v>37</v>
      </c>
      <c r="M148" s="66">
        <f t="shared" si="9"/>
        <v>74</v>
      </c>
      <c r="N148" s="48"/>
      <c r="O148" s="46"/>
    </row>
    <row r="149" spans="7:15">
      <c r="G149">
        <v>144</v>
      </c>
      <c r="H149" s="72">
        <v>24.2</v>
      </c>
      <c r="I149" s="66">
        <f t="shared" si="8"/>
        <v>48.4</v>
      </c>
      <c r="J149" s="46"/>
      <c r="K149" s="47"/>
      <c r="L149" s="72">
        <v>37</v>
      </c>
      <c r="M149" s="66">
        <f t="shared" si="9"/>
        <v>74</v>
      </c>
      <c r="N149" s="48"/>
      <c r="O149" s="46"/>
    </row>
    <row r="150" spans="7:15">
      <c r="G150">
        <v>145</v>
      </c>
      <c r="H150" s="72">
        <v>24.2</v>
      </c>
      <c r="I150" s="66">
        <f t="shared" si="8"/>
        <v>48.4</v>
      </c>
      <c r="J150" s="46"/>
      <c r="K150" s="47"/>
      <c r="L150" s="72">
        <v>37</v>
      </c>
      <c r="M150" s="66">
        <f t="shared" si="9"/>
        <v>74</v>
      </c>
      <c r="N150" s="48"/>
      <c r="O150" s="46"/>
    </row>
    <row r="151" spans="7:15">
      <c r="G151">
        <v>146</v>
      </c>
      <c r="H151" s="72">
        <v>25.5</v>
      </c>
      <c r="I151" s="66">
        <f t="shared" si="8"/>
        <v>51</v>
      </c>
      <c r="J151" s="46"/>
      <c r="K151" s="47"/>
      <c r="L151" s="72">
        <v>39</v>
      </c>
      <c r="M151" s="66">
        <f t="shared" si="9"/>
        <v>78</v>
      </c>
      <c r="N151" s="48"/>
      <c r="O151" s="46"/>
    </row>
    <row r="152" spans="7:15">
      <c r="G152">
        <v>147</v>
      </c>
      <c r="H152" s="72">
        <v>25.5</v>
      </c>
      <c r="I152" s="66">
        <f t="shared" si="8"/>
        <v>51</v>
      </c>
      <c r="J152" s="46"/>
      <c r="K152" s="47"/>
      <c r="L152" s="72">
        <v>39</v>
      </c>
      <c r="M152" s="66">
        <f t="shared" si="9"/>
        <v>78</v>
      </c>
      <c r="N152" s="48"/>
      <c r="O152" s="46"/>
    </row>
    <row r="153" spans="7:15">
      <c r="G153">
        <v>148</v>
      </c>
      <c r="H153" s="72">
        <v>25.5</v>
      </c>
      <c r="I153" s="66">
        <f t="shared" si="8"/>
        <v>51</v>
      </c>
      <c r="J153" s="46"/>
      <c r="K153" s="47"/>
      <c r="L153" s="72">
        <v>39</v>
      </c>
      <c r="M153" s="66">
        <f t="shared" si="9"/>
        <v>78</v>
      </c>
      <c r="N153" s="48"/>
      <c r="O153" s="46"/>
    </row>
    <row r="154" spans="7:15">
      <c r="G154">
        <v>149</v>
      </c>
      <c r="H154" s="72">
        <v>25.5</v>
      </c>
      <c r="I154" s="66">
        <f t="shared" si="8"/>
        <v>51</v>
      </c>
      <c r="J154" s="46"/>
      <c r="K154" s="47"/>
      <c r="L154" s="72">
        <v>39</v>
      </c>
      <c r="M154" s="66">
        <f t="shared" si="9"/>
        <v>78</v>
      </c>
      <c r="N154" s="48"/>
      <c r="O154" s="46"/>
    </row>
    <row r="155" spans="7:15">
      <c r="G155">
        <v>150</v>
      </c>
      <c r="H155" s="72">
        <v>25.5</v>
      </c>
      <c r="I155" s="66">
        <f t="shared" si="8"/>
        <v>51</v>
      </c>
      <c r="J155" s="46"/>
      <c r="K155" s="47"/>
      <c r="L155" s="72">
        <v>39</v>
      </c>
      <c r="M155" s="66">
        <f t="shared" si="9"/>
        <v>78</v>
      </c>
      <c r="N155" s="48"/>
      <c r="O155" s="46"/>
    </row>
  </sheetData>
  <mergeCells count="2">
    <mergeCell ref="H4:K4"/>
    <mergeCell ref="L4:O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CD921-5F30-4F57-8AB3-06517C6F8F4B}">
  <sheetPr codeName="Blad9"/>
  <dimension ref="H5:N9"/>
  <sheetViews>
    <sheetView workbookViewId="0">
      <selection activeCell="P10" sqref="P10:Q10"/>
    </sheetView>
  </sheetViews>
  <sheetFormatPr defaultRowHeight="15"/>
  <sheetData>
    <row r="5" spans="8:14">
      <c r="L5">
        <v>1</v>
      </c>
      <c r="M5">
        <v>3</v>
      </c>
      <c r="N5">
        <v>12</v>
      </c>
    </row>
    <row r="9" spans="8:14">
      <c r="H9" t="s">
        <v>157</v>
      </c>
      <c r="L9">
        <v>49</v>
      </c>
      <c r="M9">
        <v>137</v>
      </c>
      <c r="N9">
        <v>499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D2ECE-7104-4BE2-960F-B50F1CE0DFD7}">
  <sheetPr codeName="Blad10"/>
  <dimension ref="E4:H8"/>
  <sheetViews>
    <sheetView workbookViewId="0">
      <selection activeCell="P10" sqref="P10:Q10"/>
    </sheetView>
  </sheetViews>
  <sheetFormatPr defaultRowHeight="15"/>
  <cols>
    <col min="5" max="5" width="27" customWidth="1"/>
  </cols>
  <sheetData>
    <row r="4" spans="5:8">
      <c r="E4" s="7"/>
      <c r="F4" s="7">
        <v>1</v>
      </c>
      <c r="G4" s="7">
        <v>3</v>
      </c>
      <c r="H4" s="7">
        <v>12</v>
      </c>
    </row>
    <row r="5" spans="5:8">
      <c r="E5" s="7" t="s">
        <v>158</v>
      </c>
      <c r="F5" s="8">
        <v>33</v>
      </c>
      <c r="G5" s="8">
        <v>81</v>
      </c>
      <c r="H5" s="8">
        <v>215</v>
      </c>
    </row>
    <row r="6" spans="5:8">
      <c r="E6" s="7" t="s">
        <v>159</v>
      </c>
      <c r="F6" s="9">
        <v>49</v>
      </c>
      <c r="G6" s="9">
        <v>128</v>
      </c>
      <c r="H6" s="9">
        <v>329</v>
      </c>
    </row>
    <row r="7" spans="5:8">
      <c r="E7" s="7" t="s">
        <v>160</v>
      </c>
      <c r="F7" s="10"/>
      <c r="G7" s="10"/>
      <c r="H7" s="9">
        <v>55</v>
      </c>
    </row>
    <row r="8" spans="5:8">
      <c r="E8" s="7" t="s">
        <v>161</v>
      </c>
      <c r="F8" s="9">
        <v>45</v>
      </c>
      <c r="G8" s="9">
        <v>110</v>
      </c>
      <c r="H8" s="9">
        <v>279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46_N4 xmlns="6b0fe1ac-6161-4edf-b81e-9d6fb352de7b" xsi:nil="true"/>
    <Thema xmlns="e2767d0b-27f6-466a-9558-c1bae8df46cf">07_ABONNEMENTEN</Thema>
    <_x0046_N5 xmlns="6b0fe1ac-6161-4edf-b81e-9d6fb352de7b" xsi:nil="true"/>
    <lcf76f155ced4ddcb4097134ff3c332f xmlns="6b0fe1ac-6161-4edf-b81e-9d6fb352de7b">
      <Terms xmlns="http://schemas.microsoft.com/office/infopath/2007/PartnerControls"/>
    </lcf76f155ced4ddcb4097134ff3c332f>
    <TaxCatchAll xmlns="9a9ec0f0-7796-43d0-ac1f-4c8c46ee0bd1" xsi:nil="true"/>
    <Documenttype xmlns="e2767d0b-27f6-466a-9558-c1bae8df46cf" xsi:nil="true"/>
    <_x0046_N3 xmlns="6b0fe1ac-6161-4edf-b81e-9d6fb352de7b">2024</_x0046_N3>
    <Subthema xmlns="e2767d0b-27f6-466a-9558-c1bae8df46cf">Simulatie goedkoopste vervoersformule</Subthema>
    <_x0046_N6 xmlns="6b0fe1ac-6161-4edf-b81e-9d6fb352de7b" xsi:nil="true"/>
    <_dlc_DocId xmlns="e2767d0b-27f6-466a-9558-c1bae8df46cf">PTJNK27V776P-365409905-11876</_dlc_DocId>
    <_dlc_DocIdUrl xmlns="e2767d0b-27f6-466a-9558-c1bae8df46cf">
      <Url>https://vlaamseoverheid.sharepoint.com/sites/AGO-spDCPA/_layouts/15/DocIdRedir.aspx?ID=PTJNK27V776P-365409905-11876</Url>
      <Description>PTJNK27V776P-365409905-11876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C093199699164885F6E47668EDC8FE" ma:contentTypeVersion="20" ma:contentTypeDescription="Een nieuw document maken." ma:contentTypeScope="" ma:versionID="59ae58da08d95bf120d74a230dbc5830">
  <xsd:schema xmlns:xsd="http://www.w3.org/2001/XMLSchema" xmlns:xs="http://www.w3.org/2001/XMLSchema" xmlns:p="http://schemas.microsoft.com/office/2006/metadata/properties" xmlns:ns2="e2767d0b-27f6-466a-9558-c1bae8df46cf" xmlns:ns3="6b0fe1ac-6161-4edf-b81e-9d6fb352de7b" xmlns:ns4="9a9ec0f0-7796-43d0-ac1f-4c8c46ee0bd1" targetNamespace="http://schemas.microsoft.com/office/2006/metadata/properties" ma:root="true" ma:fieldsID="9a9f893c4f44f22e277e1c62961b4dba" ns2:_="" ns3:_="" ns4:_="">
    <xsd:import namespace="e2767d0b-27f6-466a-9558-c1bae8df46cf"/>
    <xsd:import namespace="6b0fe1ac-6161-4edf-b81e-9d6fb352de7b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Thema"/>
                <xsd:element ref="ns2:Subthema" minOccurs="0"/>
                <xsd:element ref="ns3:MediaServiceMetadata" minOccurs="0"/>
                <xsd:element ref="ns3:MediaServiceFastMetadata" minOccurs="0"/>
                <xsd:element ref="ns3:_x0046_N3" minOccurs="0"/>
                <xsd:element ref="ns3:_x0046_N4" minOccurs="0"/>
                <xsd:element ref="ns3:_x0046_N5" minOccurs="0"/>
                <xsd:element ref="ns3:_x0046_N6" minOccurs="0"/>
                <xsd:element ref="ns3:lcf76f155ced4ddcb4097134ff3c332f" minOccurs="0"/>
                <xsd:element ref="ns4:TaxCatchAll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Documenttype" minOccurs="0"/>
                <xsd:element ref="ns2:SharedWithUsers" minOccurs="0"/>
                <xsd:element ref="ns2:SharedWithDetails" minOccurs="0"/>
                <xsd:element ref="ns3:MediaServiceObjectDetectorVersions" minOccurs="0"/>
                <xsd:element ref="ns2:_dlc_DocId" minOccurs="0"/>
                <xsd:element ref="ns2:_dlc_DocIdUrl" minOccurs="0"/>
                <xsd:element ref="ns2:_dlc_DocIdPersistId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767d0b-27f6-466a-9558-c1bae8df46cf" elementFormDefault="qualified">
    <xsd:import namespace="http://schemas.microsoft.com/office/2006/documentManagement/types"/>
    <xsd:import namespace="http://schemas.microsoft.com/office/infopath/2007/PartnerControls"/>
    <xsd:element name="Thema" ma:index="8" ma:displayName="Thema" ma:format="Dropdown" ma:internalName="Thema">
      <xsd:simpleType>
        <xsd:union memberTypes="dms:Text">
          <xsd:simpleType>
            <xsd:restriction base="dms:Choice">
              <xsd:enumeration value="01_ALGEMENE INFORMATIE"/>
              <xsd:enumeration value="02_SJABLONEN"/>
              <xsd:enumeration value="03_RAPPORTEN"/>
              <xsd:enumeration value="04_FUSIES_STOPPEN_SPLITSINGEN_CONTRACTEN"/>
              <xsd:enumeration value="06_CONTROLERAPPORTEN"/>
              <xsd:enumeration value="07_ABONNEMENTEN"/>
              <xsd:enumeration value="08_VERKEERSVOORDELEN"/>
              <xsd:enumeration value="12_PROCESSEN_EN_WERKINSTRUCTIES"/>
              <xsd:enumeration value="13_PROJECT_STOPPEN_ABO_NA_3_MAAND"/>
              <xsd:enumeration value="14_PROJECT OPTIMALISATIE"/>
              <xsd:enumeration value="NMBS - betalingsherinnering"/>
            </xsd:restriction>
          </xsd:simpleType>
        </xsd:union>
      </xsd:simpleType>
    </xsd:element>
    <xsd:element name="Subthema" ma:index="9" nillable="true" ma:displayName="Subthema" ma:format="Dropdown" ma:internalName="Subthema">
      <xsd:simpleType>
        <xsd:union memberTypes="dms:Text">
          <xsd:simpleType>
            <xsd:restriction base="dms:Choice">
              <xsd:enumeration value="01_JAARLIJKS"/>
              <xsd:enumeration value="02_MAANDELIJKS"/>
              <xsd:enumeration value="03_WEKELIJKS"/>
              <xsd:enumeration value="04_DAGELIJKS"/>
              <xsd:enumeration value="05_OP VRAAG"/>
              <xsd:enumeration value="AANPASSEN RAPPORTEN"/>
              <xsd:enumeration value="CONTACTGEGEVENS"/>
              <xsd:enumeration value="CONTRACTEN"/>
              <xsd:enumeration value="CONTROLE COGNOSRAPPORTEN"/>
              <xsd:enumeration value="CONTROLERAPPORTEN"/>
              <xsd:enumeration value="DE LIJN"/>
              <xsd:enumeration value="De Lijn"/>
              <xsd:enumeration value="FAQ"/>
              <xsd:enumeration value="FLEXABO"/>
              <xsd:enumeration value="Fusies2021"/>
              <xsd:enumeration value="Fusies2022"/>
              <xsd:enumeration value="LANGDURIG AFWEZIG"/>
              <xsd:enumeration value="MIVB"/>
              <xsd:enumeration value="NMBS"/>
              <xsd:enumeration value="ONTSLAGVERGOEDING"/>
              <xsd:enumeration value="OPVOLGING STOPPEN EN ACTIVEREN"/>
              <xsd:enumeration value="SCHULDVORDERING"/>
              <xsd:enumeration value="SYNTRA"/>
              <xsd:enumeration value="Simulatie goedkoopste vervoersformule"/>
              <xsd:enumeration value="TESTING"/>
              <xsd:enumeration value="WWV - formules per maatschappij"/>
              <xsd:enumeration value="aan Steffie"/>
              <xsd:enumeration value="bestelbestanden"/>
              <xsd:enumeration value="informatie en regelgeving"/>
              <xsd:enumeration value="oude sjablonen"/>
              <xsd:enumeration value="proefproject NMBS"/>
              <xsd:enumeration value="testmap"/>
            </xsd:restriction>
          </xsd:simpleType>
        </xsd:union>
      </xsd:simpleType>
    </xsd:element>
    <xsd:element name="Documenttype" ma:index="23" nillable="true" ma:displayName="Documenttype" ma:format="Dropdown" ma:indexed="true" ma:internalName="Documenttype">
      <xsd:simpleType>
        <xsd:union memberTypes="dms:Text">
          <xsd:simpleType>
            <xsd:restriction base="dms:Choice">
              <xsd:enumeration value="Info"/>
              <xsd:enumeration value="Werkdocument"/>
              <xsd:enumeration value="Sjabloon"/>
              <xsd:enumeration value="Handleiding"/>
              <xsd:enumeration value="Opvolglijst"/>
            </xsd:restriction>
          </xsd:simpleType>
        </xsd:union>
      </xsd:simpleType>
    </xsd:element>
    <xsd:element name="SharedWithUsers" ma:index="2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7" nillable="true" ma:displayName="Waarde van de document-id" ma:description="De waarde van de document-id die aan dit item is toegewezen." ma:indexed="true" ma:internalName="_dlc_DocId" ma:readOnly="true">
      <xsd:simpleType>
        <xsd:restriction base="dms:Text"/>
      </xsd:simpleType>
    </xsd:element>
    <xsd:element name="_dlc_DocIdUrl" ma:index="28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0fe1ac-6161-4edf-b81e-9d6fb352de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_x0046_N3" ma:index="12" nillable="true" ma:displayName="FN3" ma:internalName="_x0046_N3">
      <xsd:simpleType>
        <xsd:restriction base="dms:Text">
          <xsd:maxLength value="255"/>
        </xsd:restriction>
      </xsd:simpleType>
    </xsd:element>
    <xsd:element name="_x0046_N4" ma:index="13" nillable="true" ma:displayName="FN4" ma:internalName="_x0046_N4">
      <xsd:simpleType>
        <xsd:restriction base="dms:Text">
          <xsd:maxLength value="255"/>
        </xsd:restriction>
      </xsd:simpleType>
    </xsd:element>
    <xsd:element name="_x0046_N5" ma:index="14" nillable="true" ma:displayName="FN5" ma:internalName="_x0046_N5">
      <xsd:simpleType>
        <xsd:restriction base="dms:Text">
          <xsd:maxLength value="255"/>
        </xsd:restriction>
      </xsd:simpleType>
    </xsd:element>
    <xsd:element name="_x0046_N6" ma:index="15" nillable="true" ma:displayName="FN6" ma:internalName="_x0046_N6">
      <xsd:simpleType>
        <xsd:restriction base="dms:Text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bf52eb47-fe33-4a25-898f-78d20ee6b6ab}" ma:internalName="TaxCatchAll" ma:showField="CatchAllData" ma:web="e2767d0b-27f6-466a-9558-c1bae8df46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��< ? x m l   v e r s i o n = " 1 . 0 "   e n c o d i n g = " u t f - 1 6 " ? > < D a t a M a s h u p   x m l n s = " h t t p : / / s c h e m a s . m i c r o s o f t . c o m / D a t a M a s h u p " > A A A A A P Y G A A B Q S w M E F A A C A A g A Y Z k w V k t C U i q k A A A A 9 g A A A B I A H A B D b 2 5 m a W c v U G F j a 2 F n Z S 5 4 b W w g o h g A K K A U A A A A A A A A A A A A A A A A A A A A A A A A A A A A h Y 9 B C s I w F E S v U r J v k s a N l N 8 I i j s L g i B u Q x r b Y P s r T W p 6 N x c e y S t Y 0 a o 7 l z P z B m b u 1 x s s h q a O L q Z z t s W M J J S T y K B u C 4 t l R n p / j O d k I W G r 9 E m V J h p h d O n g b E Y q 7 8 8 p Y y E E G m a 0 7 U o m O E / Y I d / s d G U a F V t 0 X q E 2 5 N M q / r e I h P 1 r j B Q 0 4 Y I K P m 4 C N p m Q W / w C Y s y e 6 Y 8 J q 7 7 2 f W c k 1 v F y D W y S w N 4 f 5 A N Q S w M E F A A C A A g A Y Z k w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G Z M F Z B 4 C g k 8 A M A A L 0 T A A A T A B w A R m 9 y b X V s Y X M v U 2 V j d G l v b j E u b S C i G A A o o B Q A A A A A A A A A A A A A A A A A A A A A A A A A A A D t V l 1 v q k o U f W / S / z D h v N j E a 6 o 9 b c 9 H e B h k q i g M X G a 0 u a m N Q Z m 2 n P L R A H r s b f r f 7 0 Z o 1 Q L 2 5 j 7 c J 4 2 J u N e a P W v P 3 s B K x D z 1 o h C x / L f 9 8 / j o + C h 5 c G L h o j t n 7 o r U 8 f x k 2 r k 8 v f i G Z O S L 9 P g I w U e J Y Z G M u s m y p U b z R S D C t H H l + a L V j c I U / i Q N q f 9 j 0 j 6 b W r Y 5 I F 0 + Z d y 0 L E K n W D G n F E / P p g b G V J 2 Y 1 t j U e x r t o Y K A 4 I u 7 X B s T m 9 D J l T N P F 7 E I J x + 1 t O b J U j p p 3 q j C 9 w I v F b E s / Z S a q B v 5 i y B M 5 P P z J i L h P H K 9 8 F 5 u d 8 4 7 T f T n I k o F S 5 9 9 I W 8 u W z Q K x e 1 J M y / q i 9 Q X j i v i B A U i R U s R P 0 T R v Y t C b y m c h Q T l c m c G a 6 w 4 C i B B w W 1 k R 9 F E N 0 U U + z 6 b O 7 4 T J 3 I a L 7 Z z 8 + c n g e 7 F b + / X 3 9 6 9 u 0 n H Y y d M 7 q I 4 y M V n t K S x X 0 r z 5 U W 6 g l M a j W x E R 4 Z B b K h d C 9 O L r 6 1 s + W s T F b i N u U Z U z E c G E N J M g O u k O W 7 a P U w 1 Z p D 3 B G s 8 F a t 0 j V O M D f R O K s E 2 U U f Q J o K 6 p k r K u 0 P 7 h q Z p s S G G P H p p d Q F X K y t A K O 5 9 n R f k k G W y F j N N m 5 c y w p x l g k y D d f u 2 N h j D S J U 4 Q x 0 z V i F W h a 3 4 X x Z B Y 6 x r a n Z k p a U K g S H d 4 I q m D w g v K S c a V c m n r D x M K 3 p m m E S F 4 j G 2 a 2 B F U 9 A a L o O 5 w q 0 M N e r 2 M c Z w t F n f K 4 e h F G T c x r j c i f 5 I Y 3 V D C f 3 j x c D s L u o R g x D K y 4 A O T 4 k K N t N x t 1 / e u 0 e U b D p q R t 4 i N j M p I T q r O l 0 Y O 2 6 T I e P Q O p O W U s P j a g j T x e v w s Y Z R 7 d o r Q K i K q K G w 8 s Z s Z F k 6 1 E 8 5 M r S x U j 7 n D Q 7 9 0 7 V B e Y M t C i f d E s x N D n e h B f c F e 8 P C R T A T 8 R q 9 h n H o E S i f K d p A t X G P 1 J A o 7 G B v c T 7 U 0 c u e N g w 0 E r 0 M 5 h I Q n L B G / 5 W G v d Q d J e / M e j 1 1 l E J V c e w f w A p N 9 c R d R d W 8 b U H V j E L P p s 2 f S 9 r L 3 V V V S 3 1 r z n p 0 P t + y l v e h L V U 0 e D i O O N 6 Z 0 N e T 4 y M v r H l N b h u S L 1 L J k j Q 6 J 9 L B l x x 8 y c G X H H z J w Z c c f M n B l x x 8 y f / u S 7 L b Z 3 r n i 5 U z i y r M C F n N h d + 6 j u L H W R Q 9 V t i R 0 8 v M f l C 6 v l H A X T A v W P h O 6 s F + k X A f o + g p S U X 2 s l 1 G 8 O b N X s k L X 0 y G 0 R M w l k 6 I N l f X 1 2 P 0 x 1 o P / G w v L h Y l E I Y 8 S Z Z a B J 7 r C t 9 F v x w n n j m J l 6 D O a a f T W v n J C i w M j L b v w 3 G A W X j z C t t 1 T t m D A A c g r 4 t 8 u d F S E c j S N k F q D r 3 Q l a U 1 T 7 p 9 v V G d 1 L n 9 b 6 6 j v H H m N H J G + 6 1 n T v i 8 7 m Q e 7 l S H z 6 r D X 6 v D 5 9 X h i + r w Z X X 4 W 3 X 4 e 3 W 4 f b o d 3 z + C / w B Q S w E C L Q A U A A I A C A B h m T B W S 0 J S K q Q A A A D 2 A A A A E g A A A A A A A A A A A A A A A A A A A A A A Q 2 9 u Z m l n L 1 B h Y 2 t h Z 2 U u e G 1 s U E s B A i 0 A F A A C A A g A Y Z k w V g / K 6 a u k A A A A 6 Q A A A B M A A A A A A A A A A A A A A A A A 8 A A A A F t D b 2 5 0 Z W 5 0 X 1 R 5 c G V z X S 5 4 b W x Q S w E C L Q A U A A I A C A B h m T B W Q e A o J P A D A A C 9 E w A A E w A A A A A A A A A A A A A A A A D h A Q A A R m 9 y b X V s Y X M v U 2 V j d G l v b j E u b V B L B Q Y A A A A A A w A D A M I A A A A e B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L Z w A A A A A A A G l n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m Y W N k Z X R h a W x z X z I 3 M D Y 4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x M D Q x I i A v P j x F b n R y e S B U e X B l P S J G a W x s R X J y b 3 J D b 2 R l I i B W Y W x 1 Z T 0 i c 1 V u a 2 5 v d 2 4 i I C 8 + P E V u d H J 5 I F R 5 c G U 9 I k Z p b G x F c n J v c k N v d W 5 0 I i B W Y W x 1 Z T 0 i b D E w M j Q i I C 8 + P E V u d H J 5 I F R 5 c G U 9 I k Z p b G x M Y X N 0 V X B k Y X R l Z C I g V m F s d W U 9 I m Q y M D I w L T E w L T I x V D A 4 O j Q z O j M 1 L j M y O T Q 5 M j F a I i A v P j x F b n R y e S B U e X B l P S J G a W x s Q 2 9 s d W 1 u V H l w Z X M i I F Z h b H V l P S J z Q X d r R 0 J n T U d D U W 9 H Q m d N R 0 N R a 0 R B d 0 1 K Q 1 F Z R 0 J n T U d C Z 1 l H Q 1 F N R 0 J n W U R C Z 1 l H Q l F V R E F 3 V U Z B d 0 1 E Q X d N R E F 3 T U R B d 0 1 E Q m c 9 P S I g L z 4 8 R W 5 0 c n k g V H l w Z T 0 i R m l s b E N v b H V t b k 5 h b W V z I i B W Y W x 1 Z T 0 i c 1 s m c X V v d D t G Q U N U V V V S I E 5 V T U 1 F U i Z x d W 9 0 O y w m c X V v d D t G Q U N U V V J B V E l F R E F U V U 0 m c X V v d D s s J n F 1 b 3 Q 7 T 1 J H Q U 5 J U 0 1 F T l V N T U V S J n F 1 b 3 Q 7 L C Z x d W 9 0 O 0 5 B Q U 0 g T 1 J H Q U 5 J U 0 1 F J n F 1 b 3 Q 7 L C Z x d W 9 0 O 1 J F R F V D V E l F I E N P R E U m c X V v d D s s J n F 1 b 3 Q 7 V k V S S 0 9 P U F N L Q U 5 B Q U w m c X V v d D s s J n F 1 b 3 Q 7 V k V S S 0 9 P U E R B V F V N J n F 1 b 3 Q 7 L C Z x d W 9 0 O 1 Z F U k t P T 1 B V V V I m c X V v d D s s J n F 1 b 3 Q 7 U E 9 T L l N P T 1 J U J n F 1 b 3 Q 7 L C Z x d W 9 0 O 1 B S T 0 R V Q 1 R P T V N D S F J J S l Z J T k c m c X V v d D s s J n F 1 b 3 Q 7 S 0 x B U 1 N F J n F 1 b 3 Q 7 L C Z x d W 9 0 O 0 R V V V J U W V B F I F Z B T E l E Q V R J R S Z x d W 9 0 O y w m c X V v d D t C R U d J T i B W Q U x J R E F U S U V C S U x K R V Q m c X V v d D s s J n F 1 b 3 Q 7 R U l O R E U g V k F M S U R B V E l F Q k l M S k V U J n F 1 b 3 Q 7 L C Z x d W 9 0 O 0 J J T E p F V E 5 S J n F 1 b 3 Q 7 L C Z x d W 9 0 O 0 1 P R U R F U k t B Q V J U T l I m c X V v d D s s J n F 1 b 3 Q 7 T U 9 C S U I g S 0 F B U l Q m c X V v d D s s J n F 1 b 3 Q 7 Q k V H S U 4 g T U 9 F R E V S S 0 F B U l Q m c X V v d D s s J n F 1 b 3 Q 7 R U l O R E U g T U 9 F R E V S S 0 F B U l Q m c X V v d D s s J n F 1 b 3 Q 7 V k 9 P U k 5 B Q U 0 m c X V v d D s s J n F 1 b 3 Q 7 T k F B T S Z x d W 9 0 O y w m c X V v d D t T V F J B Q V Q m c X V v d D s s J n F 1 b 3 Q 7 S F V J U 0 5 V T U 1 F U i Z x d W 9 0 O y w m c X V v d D t Q T 1 N U Q 0 9 E R S Z x d W 9 0 O y w m c X V v d D t H R U 1 F R U 5 U R S Z x d W 9 0 O y w m c X V v d D t M Q U 5 E J n F 1 b 3 Q 7 L C Z x d W 9 0 O 0 d F U 0 x B Q 0 h U J n F 1 b 3 Q 7 L C Z x d W 9 0 O 0 d F Q k 9 P U l R F R E F U V U 0 m c X V v d D s s J n F 1 b 3 Q 7 U E V S U 0 9 O R U V M U 0 5 S J n F 1 b 3 Q 7 L C Z x d W 9 0 O 1 Z F U l R S R U t T V E F U S U 9 O J n F 1 b 3 Q 7 L C Z x d W 9 0 O 0 F B T k t P T V N U U 1 R B V E l P T i Z x d W 9 0 O y w m c X V v d D t W S U E g U 1 R B V E l P T i Z x d W 9 0 O y w m c X V v d D t B R l N U Q U 5 E I E 5 N Q l M m c X V v d D s s J n F 1 b 3 Q 7 U 1 V Q U E x F T U V O V C B N S V Z C J n F 1 b 3 Q 7 L C Z x d W 9 0 O 1 N V U F B M R U 1 F T l Q g R E U g T E l K T i Z x d W 9 0 O y w m c X V v d D t T V V B Q T E V N R U 5 U I F R F Q y Z x d W 9 0 O y w m c X V v d D t U T 1 R B Q U x Q U k l K U y Z x d W 9 0 O y w m c X V v d D t X R V J L R 0 V W R V J T Q k l K R F J B R 0 U m c X V v d D s s J n F 1 b 3 Q 7 V 0 V S S 0 5 F T U V S Q k l K R F J B R 0 U m c X V v d D s s J n F 1 b 3 Q 7 R 1 J B V E l T I E R F R U w m c X V v d D s s J n F 1 b 3 Q 7 V E 9 U Q U F M I F R S R U l O J n F 1 b 3 Q 7 L C Z x d W 9 0 O 1 d F U k t H R V Z F U l N C S U p E U k F H R S B U U k V J T i Z x d W 9 0 O y w m c X V v d D t X R V J L T k V N R V J C S U p E U k F H R S B U U k V J T i Z x d W 9 0 O y w m c X V v d D t H U k F U S V M g R E V F T C B U U k V J T i Z x d W 9 0 O y w m c X V v d D t U T 1 R B Q U w g T U l W Q i Z x d W 9 0 O y w m c X V v d D t X R V J L R 0 V W R V J T Q k l K R F J B R 0 U g T U l W Q i Z x d W 9 0 O y w m c X V v d D t X R V J L T k V N R V J C S U p E U k F H R S B N S V Z C J n F 1 b 3 Q 7 L C Z x d W 9 0 O 0 d S Q V R J U y B E R U V M I E 1 J V k I m c X V v d D s s J n F 1 b 3 Q 7 V E 9 U Q U F M I E R F I E x J S k 4 m c X V v d D s s J n F 1 b 3 Q 7 V 0 V S S 0 d F V k V S U 0 J J S k R S Q U d F I E R F I E x J S k 4 m c X V v d D s s J n F 1 b 3 Q 7 V 0 V S S 0 5 F T U V S Q k l K R F J B R 0 U g R E U g T E l K T i Z x d W 9 0 O y w m c X V v d D t U T 1 R B Q U w g V E V D J n F 1 b 3 Q 7 L C Z x d W 9 0 O 1 d F U k t H R V Z F U l N C S U p E U k F H R S B U R U M m c X V v d D s s J n F 1 b 3 Q 7 V 0 V S S 0 5 F T U V S Q k l K R F J B R 0 U g V E V D J n F 1 b 3 Q 7 L C Z x d W 9 0 O 1 Z B T F V U Q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Y W N k Z X R h a W x z X z I 3 M D Y 4 L 1 R 5 c G U g Z 2 V 3 a W p 6 a W d k L n t G Q U N U V V V S I E 5 V T U 1 F U i w w f S Z x d W 9 0 O y w m c X V v d D t T Z W N 0 a W 9 u M S 9 m Y W N k Z X R h a W x z X z I 3 M D Y 4 L 1 R 5 c G U g Z 2 V 3 a W p 6 a W d k L n t G Q U N U V V J B V E l F R E F U V U 0 s M X 0 m c X V v d D s s J n F 1 b 3 Q 7 U 2 V j d G l v b j E v Z m F j Z G V 0 Y W l s c 1 8 y N z A 2 O C 9 U e X B l I G d l d 2 l q e m l n Z C 5 7 T 1 J H Q U 5 J U 0 1 F T l V N T U V S L D J 9 J n F 1 b 3 Q 7 L C Z x d W 9 0 O 1 N l Y 3 R p b 2 4 x L 2 Z h Y 2 R l d G F p b H N f M j c w N j g v V H l w Z S B n Z X d p a n p p Z 2 Q u e 0 5 B Q U 0 g T 1 J H Q U 5 J U 0 1 F L D N 9 J n F 1 b 3 Q 7 L C Z x d W 9 0 O 1 N l Y 3 R p b 2 4 x L 2 Z h Y 2 R l d G F p b H N f M j c w N j g v V H l w Z S B n Z X d p a n p p Z 2 Q u e 1 J F R F V D V E l F I E N P R E U s N H 0 m c X V v d D s s J n F 1 b 3 Q 7 U 2 V j d G l v b j E v Z m F j Z G V 0 Y W l s c 1 8 y N z A 2 O C 9 U e X B l I G d l d 2 l q e m l n Z C 5 7 V k V S S 0 9 P U F N L Q U 5 B Q U w s N X 0 m c X V v d D s s J n F 1 b 3 Q 7 U 2 V j d G l v b j E v Z m F j Z G V 0 Y W l s c 1 8 y N z A 2 O C 9 U e X B l I G d l d 2 l q e m l n Z C 5 7 V k V S S 0 9 P U E R B V F V N L D Z 9 J n F 1 b 3 Q 7 L C Z x d W 9 0 O 1 N l Y 3 R p b 2 4 x L 2 Z h Y 2 R l d G F p b H N f M j c w N j g v V H l w Z S B n Z X d p a n p p Z 2 Q u e 1 Z F U k t P T 1 B V V V I s N 3 0 m c X V v d D s s J n F 1 b 3 Q 7 U 2 V j d G l v b j E v Z m F j Z G V 0 Y W l s c 1 8 y N z A 2 O C 9 U e X B l I G d l d 2 l q e m l n Z C 5 7 U E 9 T L l N P T 1 J U L D h 9 J n F 1 b 3 Q 7 L C Z x d W 9 0 O 1 N l Y 3 R p b 2 4 x L 2 Z h Y 2 R l d G F p b H N f M j c w N j g v V H l w Z S B n Z X d p a n p p Z 2 Q u e 1 B S T 0 R V Q 1 R P T V N D S F J J S l Z J T k c s O X 0 m c X V v d D s s J n F 1 b 3 Q 7 U 2 V j d G l v b j E v Z m F j Z G V 0 Y W l s c 1 8 y N z A 2 O C 9 U e X B l I G d l d 2 l q e m l n Z C 5 7 S 0 x B U 1 N F L D E w f S Z x d W 9 0 O y w m c X V v d D t T Z W N 0 a W 9 u M S 9 m Y W N k Z X R h a W x z X z I 3 M D Y 4 L 1 R 5 c G U g Z 2 V 3 a W p 6 a W d k L n t E V V V S V F l Q R S B W Q U x J R E F U S U U s M T F 9 J n F 1 b 3 Q 7 L C Z x d W 9 0 O 1 N l Y 3 R p b 2 4 x L 2 Z h Y 2 R l d G F p b H N f M j c w N j g v V H l w Z S B n Z X d p a n p p Z 2 Q u e 0 J F R 0 l O I F Z B T E l E Q V R J R U J J T E p F V C w x M n 0 m c X V v d D s s J n F 1 b 3 Q 7 U 2 V j d G l v b j E v Z m F j Z G V 0 Y W l s c 1 8 y N z A 2 O C 9 U e X B l I G d l d 2 l q e m l n Z C 5 7 R U l O R E U g V k F M S U R B V E l F Q k l M S k V U L D E z f S Z x d W 9 0 O y w m c X V v d D t T Z W N 0 a W 9 u M S 9 m Y W N k Z X R h a W x z X z I 3 M D Y 4 L 1 R 5 c G U g Z 2 V 3 a W p 6 a W d k L n t C S U x K R V R O U i w x N H 0 m c X V v d D s s J n F 1 b 3 Q 7 U 2 V j d G l v b j E v Z m F j Z G V 0 Y W l s c 1 8 y N z A 2 O C 9 U e X B l I G d l d 2 l q e m l n Z C 5 7 T U 9 F R E V S S 0 F B U l R O U i w x N X 0 m c X V v d D s s J n F 1 b 3 Q 7 U 2 V j d G l v b j E v Z m F j Z G V 0 Y W l s c 1 8 y N z A 2 O C 9 U e X B l I G d l d 2 l q e m l n Z C 5 7 T U 9 C S U I g S 0 F B U l Q s M T Z 9 J n F 1 b 3 Q 7 L C Z x d W 9 0 O 1 N l Y 3 R p b 2 4 x L 2 Z h Y 2 R l d G F p b H N f M j c w N j g v V H l w Z S B n Z X d p a n p p Z 2 Q u e 0 J F R 0 l O I E 1 P R U R F U k t B Q V J U L D E 3 f S Z x d W 9 0 O y w m c X V v d D t T Z W N 0 a W 9 u M S 9 m Y W N k Z X R h a W x z X z I 3 M D Y 4 L 1 R 5 c G U g Z 2 V 3 a W p 6 a W d k L n t F S U 5 E R S B N T 0 V E R V J L Q U F S V C w x O H 0 m c X V v d D s s J n F 1 b 3 Q 7 U 2 V j d G l v b j E v Z m F j Z G V 0 Y W l s c 1 8 y N z A 2 O C 9 U e X B l I G d l d 2 l q e m l n Z C 5 7 V k 9 P U k 5 B Q U 0 s M T l 9 J n F 1 b 3 Q 7 L C Z x d W 9 0 O 1 N l Y 3 R p b 2 4 x L 2 Z h Y 2 R l d G F p b H N f M j c w N j g v V H l w Z S B n Z X d p a n p p Z 2 Q u e 0 5 B Q U 0 s M j B 9 J n F 1 b 3 Q 7 L C Z x d W 9 0 O 1 N l Y 3 R p b 2 4 x L 2 Z h Y 2 R l d G F p b H N f M j c w N j g v V H l w Z S B n Z X d p a n p p Z 2 Q u e 1 N U U k F B V C w y M X 0 m c X V v d D s s J n F 1 b 3 Q 7 U 2 V j d G l v b j E v Z m F j Z G V 0 Y W l s c 1 8 y N z A 2 O C 9 U e X B l I G d l d 2 l q e m l n Z C 5 7 S F V J U 0 5 V T U 1 F U i w y M n 0 m c X V v d D s s J n F 1 b 3 Q 7 U 2 V j d G l v b j E v Z m F j Z G V 0 Y W l s c 1 8 y N z A 2 O C 9 U e X B l I G d l d 2 l q e m l n Z C 5 7 U E 9 T V E N P R E U s M j N 9 J n F 1 b 3 Q 7 L C Z x d W 9 0 O 1 N l Y 3 R p b 2 4 x L 2 Z h Y 2 R l d G F p b H N f M j c w N j g v V H l w Z S B n Z X d p a n p p Z 2 Q u e 0 d F T U V F T l R F L D I 0 f S Z x d W 9 0 O y w m c X V v d D t T Z W N 0 a W 9 u M S 9 m Y W N k Z X R h a W x z X z I 3 M D Y 4 L 1 R 5 c G U g Z 2 V 3 a W p 6 a W d k L n t M Q U 5 E L D I 1 f S Z x d W 9 0 O y w m c X V v d D t T Z W N 0 a W 9 u M S 9 m Y W N k Z X R h a W x z X z I 3 M D Y 4 L 1 R 5 c G U g Z 2 V 3 a W p 6 a W d k L n t H R V N M Q U N I V C w y N n 0 m c X V v d D s s J n F 1 b 3 Q 7 U 2 V j d G l v b j E v Z m F j Z G V 0 Y W l s c 1 8 y N z A 2 O C 9 U e X B l I G d l d 2 l q e m l n Z C 5 7 R 0 V C T 0 9 S V E V E Q V R V T S w y N 3 0 m c X V v d D s s J n F 1 b 3 Q 7 U 2 V j d G l v b j E v Z m F j Z G V 0 Y W l s c 1 8 y N z A 2 O C 9 U e X B l I G d l d 2 l q e m l n Z C 5 7 U E V S U 0 9 O R U V M U 0 5 S L D I 4 f S Z x d W 9 0 O y w m c X V v d D t T Z W N 0 a W 9 u M S 9 m Y W N k Z X R h a W x z X z I 3 M D Y 4 L 1 R 5 c G U g Z 2 V 3 a W p 6 a W d k L n t W R V J U U k V L U 1 R B V E l P T i w y O X 0 m c X V v d D s s J n F 1 b 3 Q 7 U 2 V j d G l v b j E v Z m F j Z G V 0 Y W l s c 1 8 y N z A 2 O C 9 U e X B l I G d l d 2 l q e m l n Z C 5 7 Q U F O S 0 9 N U 1 R T V E F U S U 9 O L D M w f S Z x d W 9 0 O y w m c X V v d D t T Z W N 0 a W 9 u M S 9 m Y W N k Z X R h a W x z X z I 3 M D Y 4 L 1 R 5 c G U g Z 2 V 3 a W p 6 a W d k L n t W S U E g U 1 R B V E l P T i w z M X 0 m c X V v d D s s J n F 1 b 3 Q 7 U 2 V j d G l v b j E v Z m F j Z G V 0 Y W l s c 1 8 y N z A 2 O C 9 U e X B l I G d l d 2 l q e m l n Z C 5 7 Q U Z T V E F O R C B O T U J T L D M y f S Z x d W 9 0 O y w m c X V v d D t T Z W N 0 a W 9 u M S 9 m Y W N k Z X R h a W x z X z I 3 M D Y 4 L 1 R 5 c G U g Z 2 V 3 a W p 6 a W d k L n t T V V B Q T E V N R U 5 U I E 1 J V k I s M z N 9 J n F 1 b 3 Q 7 L C Z x d W 9 0 O 1 N l Y 3 R p b 2 4 x L 2 Z h Y 2 R l d G F p b H N f M j c w N j g v V H l w Z S B n Z X d p a n p p Z 2 Q u e 1 N V U F B M R U 1 F T l Q g R E U g T E l K T i w z N H 0 m c X V v d D s s J n F 1 b 3 Q 7 U 2 V j d G l v b j E v Z m F j Z G V 0 Y W l s c 1 8 y N z A 2 O C 9 U e X B l I G d l d 2 l q e m l n Z C 5 7 U 1 V Q U E x F T U V O V C B U R U M s M z V 9 J n F 1 b 3 Q 7 L C Z x d W 9 0 O 1 N l Y 3 R p b 2 4 x L 2 Z h Y 2 R l d G F p b H N f M j c w N j g v V H l w Z S B n Z X d p a n p p Z 2 Q u e 1 R P V E F B T F B S S U p T L D M 2 f S Z x d W 9 0 O y w m c X V v d D t T Z W N 0 a W 9 u M S 9 m Y W N k Z X R h a W x z X z I 3 M D Y 4 L 1 R 5 c G U g Z 2 V 3 a W p 6 a W d k L n t X R V J L R 0 V W R V J T Q k l K R F J B R 0 U s M z d 9 J n F 1 b 3 Q 7 L C Z x d W 9 0 O 1 N l Y 3 R p b 2 4 x L 2 Z h Y 2 R l d G F p b H N f M j c w N j g v V H l w Z S B n Z X d p a n p p Z 2 Q u e 1 d F U k t O R U 1 F U k J J S k R S Q U d F L D M 4 f S Z x d W 9 0 O y w m c X V v d D t T Z W N 0 a W 9 u M S 9 m Y W N k Z X R h a W x z X z I 3 M D Y 4 L 1 R 5 c G U g Z 2 V 3 a W p 6 a W d k L n t H U k F U S V M g R E V F T C w z O X 0 m c X V v d D s s J n F 1 b 3 Q 7 U 2 V j d G l v b j E v Z m F j Z G V 0 Y W l s c 1 8 y N z A 2 O C 9 U e X B l I G d l d 2 l q e m l n Z C 5 7 V E 9 U Q U F M I F R S R U l O L D Q w f S Z x d W 9 0 O y w m c X V v d D t T Z W N 0 a W 9 u M S 9 m Y W N k Z X R h a W x z X z I 3 M D Y 4 L 1 R 5 c G U g Z 2 V 3 a W p 6 a W d k L n t X R V J L R 0 V W R V J T Q k l K R F J B R 0 U g V F J F S U 4 s N D F 9 J n F 1 b 3 Q 7 L C Z x d W 9 0 O 1 N l Y 3 R p b 2 4 x L 2 Z h Y 2 R l d G F p b H N f M j c w N j g v V H l w Z S B n Z X d p a n p p Z 2 Q u e 1 d F U k t O R U 1 F U k J J S k R S Q U d F I F R S R U l O L D Q y f S Z x d W 9 0 O y w m c X V v d D t T Z W N 0 a W 9 u M S 9 m Y W N k Z X R h a W x z X z I 3 M D Y 4 L 1 R 5 c G U g Z 2 V 3 a W p 6 a W d k L n t H U k F U S V M g R E V F T C B U U k V J T i w 0 M 3 0 m c X V v d D s s J n F 1 b 3 Q 7 U 2 V j d G l v b j E v Z m F j Z G V 0 Y W l s c 1 8 y N z A 2 O C 9 U e X B l I G d l d 2 l q e m l n Z C 5 7 V E 9 U Q U F M I E 1 J V k I s N D R 9 J n F 1 b 3 Q 7 L C Z x d W 9 0 O 1 N l Y 3 R p b 2 4 x L 2 Z h Y 2 R l d G F p b H N f M j c w N j g v V H l w Z S B n Z X d p a n p p Z 2 Q u e 1 d F U k t H R V Z F U l N C S U p E U k F H R S B N S V Z C L D Q 1 f S Z x d W 9 0 O y w m c X V v d D t T Z W N 0 a W 9 u M S 9 m Y W N k Z X R h a W x z X z I 3 M D Y 4 L 1 R 5 c G U g Z 2 V 3 a W p 6 a W d k L n t X R V J L T k V N R V J C S U p E U k F H R S B N S V Z C L D Q 2 f S Z x d W 9 0 O y w m c X V v d D t T Z W N 0 a W 9 u M S 9 m Y W N k Z X R h a W x z X z I 3 M D Y 4 L 1 R 5 c G U g Z 2 V 3 a W p 6 a W d k L n t H U k F U S V M g R E V F T C B N S V Z C L D Q 3 f S Z x d W 9 0 O y w m c X V v d D t T Z W N 0 a W 9 u M S 9 m Y W N k Z X R h a W x z X z I 3 M D Y 4 L 1 R 5 c G U g Z 2 V 3 a W p 6 a W d k L n t U T 1 R B Q U w g R E U g T E l K T i w 0 O H 0 m c X V v d D s s J n F 1 b 3 Q 7 U 2 V j d G l v b j E v Z m F j Z G V 0 Y W l s c 1 8 y N z A 2 O C 9 U e X B l I G d l d 2 l q e m l n Z C 5 7 V 0 V S S 0 d F V k V S U 0 J J S k R S Q U d F I E R F I E x J S k 4 s N D l 9 J n F 1 b 3 Q 7 L C Z x d W 9 0 O 1 N l Y 3 R p b 2 4 x L 2 Z h Y 2 R l d G F p b H N f M j c w N j g v V H l w Z S B n Z X d p a n p p Z 2 Q u e 1 d F U k t O R U 1 F U k J J S k R S Q U d F I E R F I E x J S k 4 s N T B 9 J n F 1 b 3 Q 7 L C Z x d W 9 0 O 1 N l Y 3 R p b 2 4 x L 2 Z h Y 2 R l d G F p b H N f M j c w N j g v V H l w Z S B n Z X d p a n p p Z 2 Q u e 1 R P V E F B T C B U R U M s N T F 9 J n F 1 b 3 Q 7 L C Z x d W 9 0 O 1 N l Y 3 R p b 2 4 x L 2 Z h Y 2 R l d G F p b H N f M j c w N j g v V H l w Z S B n Z X d p a n p p Z 2 Q u e 1 d F U k t H R V Z F U l N C S U p E U k F H R S B U R U M s N T J 9 J n F 1 b 3 Q 7 L C Z x d W 9 0 O 1 N l Y 3 R p b 2 4 x L 2 Z h Y 2 R l d G F p b H N f M j c w N j g v V H l w Z S B n Z X d p a n p p Z 2 Q u e 1 d F U k t O R U 1 F U k J J S k R S Q U d F I F R F Q y w 1 M 3 0 m c X V v d D s s J n F 1 b 3 Q 7 U 2 V j d G l v b j E v Z m F j Z G V 0 Y W l s c 1 8 y N z A 2 O C 9 U e X B l I G d l d 2 l q e m l n Z C 5 7 V k F M V V R B L D U 0 f S Z x d W 9 0 O 1 0 s J n F 1 b 3 Q 7 Q 2 9 s d W 1 u Q 2 9 1 b n Q m c X V v d D s 6 N T U s J n F 1 b 3 Q 7 S 2 V 5 Q 2 9 s d W 1 u T m F t Z X M m c X V v d D s 6 W 1 0 s J n F 1 b 3 Q 7 Q 2 9 s d W 1 u S W R l b n R p d G l l c y Z x d W 9 0 O z p b J n F 1 b 3 Q 7 U 2 V j d G l v b j E v Z m F j Z G V 0 Y W l s c 1 8 y N z A 2 O C 9 U e X B l I G d l d 2 l q e m l n Z C 5 7 R k F D V F V V U i B O V U 1 N R V I s M H 0 m c X V v d D s s J n F 1 b 3 Q 7 U 2 V j d G l v b j E v Z m F j Z G V 0 Y W l s c 1 8 y N z A 2 O C 9 U e X B l I G d l d 2 l q e m l n Z C 5 7 R k F D V F V S Q V R J R U R B V F V N L D F 9 J n F 1 b 3 Q 7 L C Z x d W 9 0 O 1 N l Y 3 R p b 2 4 x L 2 Z h Y 2 R l d G F p b H N f M j c w N j g v V H l w Z S B n Z X d p a n p p Z 2 Q u e 0 9 S R 0 F O S V N N R U 5 V T U 1 F U i w y f S Z x d W 9 0 O y w m c X V v d D t T Z W N 0 a W 9 u M S 9 m Y W N k Z X R h a W x z X z I 3 M D Y 4 L 1 R 5 c G U g Z 2 V 3 a W p 6 a W d k L n t O Q U F N I E 9 S R 0 F O S V N N R S w z f S Z x d W 9 0 O y w m c X V v d D t T Z W N 0 a W 9 u M S 9 m Y W N k Z X R h a W x z X z I 3 M D Y 4 L 1 R 5 c G U g Z 2 V 3 a W p 6 a W d k L n t S R U R V Q 1 R J R S B D T 0 R F L D R 9 J n F 1 b 3 Q 7 L C Z x d W 9 0 O 1 N l Y 3 R p b 2 4 x L 2 Z h Y 2 R l d G F p b H N f M j c w N j g v V H l w Z S B n Z X d p a n p p Z 2 Q u e 1 Z F U k t P T 1 B T S 0 F O Q U F M L D V 9 J n F 1 b 3 Q 7 L C Z x d W 9 0 O 1 N l Y 3 R p b 2 4 x L 2 Z h Y 2 R l d G F p b H N f M j c w N j g v V H l w Z S B n Z X d p a n p p Z 2 Q u e 1 Z F U k t P T 1 B E Q V R V T S w 2 f S Z x d W 9 0 O y w m c X V v d D t T Z W N 0 a W 9 u M S 9 m Y W N k Z X R h a W x z X z I 3 M D Y 4 L 1 R 5 c G U g Z 2 V 3 a W p 6 a W d k L n t W R V J L T 0 9 Q V V V S L D d 9 J n F 1 b 3 Q 7 L C Z x d W 9 0 O 1 N l Y 3 R p b 2 4 x L 2 Z h Y 2 R l d G F p b H N f M j c w N j g v V H l w Z S B n Z X d p a n p p Z 2 Q u e 1 B P U y 5 T T 0 9 S V C w 4 f S Z x d W 9 0 O y w m c X V v d D t T Z W N 0 a W 9 u M S 9 m Y W N k Z X R h a W x z X z I 3 M D Y 4 L 1 R 5 c G U g Z 2 V 3 a W p 6 a W d k L n t Q U k 9 E V U N U T 0 1 T Q 0 h S S U p W S U 5 H L D l 9 J n F 1 b 3 Q 7 L C Z x d W 9 0 O 1 N l Y 3 R p b 2 4 x L 2 Z h Y 2 R l d G F p b H N f M j c w N j g v V H l w Z S B n Z X d p a n p p Z 2 Q u e 0 t M Q V N T R S w x M H 0 m c X V v d D s s J n F 1 b 3 Q 7 U 2 V j d G l v b j E v Z m F j Z G V 0 Y W l s c 1 8 y N z A 2 O C 9 U e X B l I G d l d 2 l q e m l n Z C 5 7 R F V V U l R Z U E U g V k F M S U R B V E l F L D E x f S Z x d W 9 0 O y w m c X V v d D t T Z W N 0 a W 9 u M S 9 m Y W N k Z X R h a W x z X z I 3 M D Y 4 L 1 R 5 c G U g Z 2 V 3 a W p 6 a W d k L n t C R U d J T i B W Q U x J R E F U S U V C S U x K R V Q s M T J 9 J n F 1 b 3 Q 7 L C Z x d W 9 0 O 1 N l Y 3 R p b 2 4 x L 2 Z h Y 2 R l d G F p b H N f M j c w N j g v V H l w Z S B n Z X d p a n p p Z 2 Q u e 0 V J T k R F I F Z B T E l E Q V R J R U J J T E p F V C w x M 3 0 m c X V v d D s s J n F 1 b 3 Q 7 U 2 V j d G l v b j E v Z m F j Z G V 0 Y W l s c 1 8 y N z A 2 O C 9 U e X B l I G d l d 2 l q e m l n Z C 5 7 Q k l M S k V U T l I s M T R 9 J n F 1 b 3 Q 7 L C Z x d W 9 0 O 1 N l Y 3 R p b 2 4 x L 2 Z h Y 2 R l d G F p b H N f M j c w N j g v V H l w Z S B n Z X d p a n p p Z 2 Q u e 0 1 P R U R F U k t B Q V J U T l I s M T V 9 J n F 1 b 3 Q 7 L C Z x d W 9 0 O 1 N l Y 3 R p b 2 4 x L 2 Z h Y 2 R l d G F p b H N f M j c w N j g v V H l w Z S B n Z X d p a n p p Z 2 Q u e 0 1 P Q k l C I E t B Q V J U L D E 2 f S Z x d W 9 0 O y w m c X V v d D t T Z W N 0 a W 9 u M S 9 m Y W N k Z X R h a W x z X z I 3 M D Y 4 L 1 R 5 c G U g Z 2 V 3 a W p 6 a W d k L n t C R U d J T i B N T 0 V E R V J L Q U F S V C w x N 3 0 m c X V v d D s s J n F 1 b 3 Q 7 U 2 V j d G l v b j E v Z m F j Z G V 0 Y W l s c 1 8 y N z A 2 O C 9 U e X B l I G d l d 2 l q e m l n Z C 5 7 R U l O R E U g T U 9 F R E V S S 0 F B U l Q s M T h 9 J n F 1 b 3 Q 7 L C Z x d W 9 0 O 1 N l Y 3 R p b 2 4 x L 2 Z h Y 2 R l d G F p b H N f M j c w N j g v V H l w Z S B n Z X d p a n p p Z 2 Q u e 1 Z P T 1 J O Q U F N L D E 5 f S Z x d W 9 0 O y w m c X V v d D t T Z W N 0 a W 9 u M S 9 m Y W N k Z X R h a W x z X z I 3 M D Y 4 L 1 R 5 c G U g Z 2 V 3 a W p 6 a W d k L n t O Q U F N L D I w f S Z x d W 9 0 O y w m c X V v d D t T Z W N 0 a W 9 u M S 9 m Y W N k Z X R h a W x z X z I 3 M D Y 4 L 1 R 5 c G U g Z 2 V 3 a W p 6 a W d k L n t T V F J B Q V Q s M j F 9 J n F 1 b 3 Q 7 L C Z x d W 9 0 O 1 N l Y 3 R p b 2 4 x L 2 Z h Y 2 R l d G F p b H N f M j c w N j g v V H l w Z S B n Z X d p a n p p Z 2 Q u e 0 h V S V N O V U 1 N R V I s M j J 9 J n F 1 b 3 Q 7 L C Z x d W 9 0 O 1 N l Y 3 R p b 2 4 x L 2 Z h Y 2 R l d G F p b H N f M j c w N j g v V H l w Z S B n Z X d p a n p p Z 2 Q u e 1 B P U 1 R D T 0 R F L D I z f S Z x d W 9 0 O y w m c X V v d D t T Z W N 0 a W 9 u M S 9 m Y W N k Z X R h a W x z X z I 3 M D Y 4 L 1 R 5 c G U g Z 2 V 3 a W p 6 a W d k L n t H R U 1 F R U 5 U R S w y N H 0 m c X V v d D s s J n F 1 b 3 Q 7 U 2 V j d G l v b j E v Z m F j Z G V 0 Y W l s c 1 8 y N z A 2 O C 9 U e X B l I G d l d 2 l q e m l n Z C 5 7 T E F O R C w y N X 0 m c X V v d D s s J n F 1 b 3 Q 7 U 2 V j d G l v b j E v Z m F j Z G V 0 Y W l s c 1 8 y N z A 2 O C 9 U e X B l I G d l d 2 l q e m l n Z C 5 7 R 0 V T T E F D S F Q s M j Z 9 J n F 1 b 3 Q 7 L C Z x d W 9 0 O 1 N l Y 3 R p b 2 4 x L 2 Z h Y 2 R l d G F p b H N f M j c w N j g v V H l w Z S B n Z X d p a n p p Z 2 Q u e 0 d F Q k 9 P U l R F R E F U V U 0 s M j d 9 J n F 1 b 3 Q 7 L C Z x d W 9 0 O 1 N l Y 3 R p b 2 4 x L 2 Z h Y 2 R l d G F p b H N f M j c w N j g v V H l w Z S B n Z X d p a n p p Z 2 Q u e 1 B F U l N P T k V F T F N O U i w y O H 0 m c X V v d D s s J n F 1 b 3 Q 7 U 2 V j d G l v b j E v Z m F j Z G V 0 Y W l s c 1 8 y N z A 2 O C 9 U e X B l I G d l d 2 l q e m l n Z C 5 7 V k V S V F J F S 1 N U Q V R J T 0 4 s M j l 9 J n F 1 b 3 Q 7 L C Z x d W 9 0 O 1 N l Y 3 R p b 2 4 x L 2 Z h Y 2 R l d G F p b H N f M j c w N j g v V H l w Z S B n Z X d p a n p p Z 2 Q u e 0 F B T k t P T V N U U 1 R B V E l P T i w z M H 0 m c X V v d D s s J n F 1 b 3 Q 7 U 2 V j d G l v b j E v Z m F j Z G V 0 Y W l s c 1 8 y N z A 2 O C 9 U e X B l I G d l d 2 l q e m l n Z C 5 7 V k l B I F N U Q V R J T 0 4 s M z F 9 J n F 1 b 3 Q 7 L C Z x d W 9 0 O 1 N l Y 3 R p b 2 4 x L 2 Z h Y 2 R l d G F p b H N f M j c w N j g v V H l w Z S B n Z X d p a n p p Z 2 Q u e 0 F G U 1 R B T k Q g T k 1 C U y w z M n 0 m c X V v d D s s J n F 1 b 3 Q 7 U 2 V j d G l v b j E v Z m F j Z G V 0 Y W l s c 1 8 y N z A 2 O C 9 U e X B l I G d l d 2 l q e m l n Z C 5 7 U 1 V Q U E x F T U V O V C B N S V Z C L D M z f S Z x d W 9 0 O y w m c X V v d D t T Z W N 0 a W 9 u M S 9 m Y W N k Z X R h a W x z X z I 3 M D Y 4 L 1 R 5 c G U g Z 2 V 3 a W p 6 a W d k L n t T V V B Q T E V N R U 5 U I E R F I E x J S k 4 s M z R 9 J n F 1 b 3 Q 7 L C Z x d W 9 0 O 1 N l Y 3 R p b 2 4 x L 2 Z h Y 2 R l d G F p b H N f M j c w N j g v V H l w Z S B n Z X d p a n p p Z 2 Q u e 1 N V U F B M R U 1 F T l Q g V E V D L D M 1 f S Z x d W 9 0 O y w m c X V v d D t T Z W N 0 a W 9 u M S 9 m Y W N k Z X R h a W x z X z I 3 M D Y 4 L 1 R 5 c G U g Z 2 V 3 a W p 6 a W d k L n t U T 1 R B Q U x Q U k l K U y w z N n 0 m c X V v d D s s J n F 1 b 3 Q 7 U 2 V j d G l v b j E v Z m F j Z G V 0 Y W l s c 1 8 y N z A 2 O C 9 U e X B l I G d l d 2 l q e m l n Z C 5 7 V 0 V S S 0 d F V k V S U 0 J J S k R S Q U d F L D M 3 f S Z x d W 9 0 O y w m c X V v d D t T Z W N 0 a W 9 u M S 9 m Y W N k Z X R h a W x z X z I 3 M D Y 4 L 1 R 5 c G U g Z 2 V 3 a W p 6 a W d k L n t X R V J L T k V N R V J C S U p E U k F H R S w z O H 0 m c X V v d D s s J n F 1 b 3 Q 7 U 2 V j d G l v b j E v Z m F j Z G V 0 Y W l s c 1 8 y N z A 2 O C 9 U e X B l I G d l d 2 l q e m l n Z C 5 7 R 1 J B V E l T I E R F R U w s M z l 9 J n F 1 b 3 Q 7 L C Z x d W 9 0 O 1 N l Y 3 R p b 2 4 x L 2 Z h Y 2 R l d G F p b H N f M j c w N j g v V H l w Z S B n Z X d p a n p p Z 2 Q u e 1 R P V E F B T C B U U k V J T i w 0 M H 0 m c X V v d D s s J n F 1 b 3 Q 7 U 2 V j d G l v b j E v Z m F j Z G V 0 Y W l s c 1 8 y N z A 2 O C 9 U e X B l I G d l d 2 l q e m l n Z C 5 7 V 0 V S S 0 d F V k V S U 0 J J S k R S Q U d F I F R S R U l O L D Q x f S Z x d W 9 0 O y w m c X V v d D t T Z W N 0 a W 9 u M S 9 m Y W N k Z X R h a W x z X z I 3 M D Y 4 L 1 R 5 c G U g Z 2 V 3 a W p 6 a W d k L n t X R V J L T k V N R V J C S U p E U k F H R S B U U k V J T i w 0 M n 0 m c X V v d D s s J n F 1 b 3 Q 7 U 2 V j d G l v b j E v Z m F j Z G V 0 Y W l s c 1 8 y N z A 2 O C 9 U e X B l I G d l d 2 l q e m l n Z C 5 7 R 1 J B V E l T I E R F R U w g V F J F S U 4 s N D N 9 J n F 1 b 3 Q 7 L C Z x d W 9 0 O 1 N l Y 3 R p b 2 4 x L 2 Z h Y 2 R l d G F p b H N f M j c w N j g v V H l w Z S B n Z X d p a n p p Z 2 Q u e 1 R P V E F B T C B N S V Z C L D Q 0 f S Z x d W 9 0 O y w m c X V v d D t T Z W N 0 a W 9 u M S 9 m Y W N k Z X R h a W x z X z I 3 M D Y 4 L 1 R 5 c G U g Z 2 V 3 a W p 6 a W d k L n t X R V J L R 0 V W R V J T Q k l K R F J B R 0 U g T U l W Q i w 0 N X 0 m c X V v d D s s J n F 1 b 3 Q 7 U 2 V j d G l v b j E v Z m F j Z G V 0 Y W l s c 1 8 y N z A 2 O C 9 U e X B l I G d l d 2 l q e m l n Z C 5 7 V 0 V S S 0 5 F T U V S Q k l K R F J B R 0 U g T U l W Q i w 0 N n 0 m c X V v d D s s J n F 1 b 3 Q 7 U 2 V j d G l v b j E v Z m F j Z G V 0 Y W l s c 1 8 y N z A 2 O C 9 U e X B l I G d l d 2 l q e m l n Z C 5 7 R 1 J B V E l T I E R F R U w g T U l W Q i w 0 N 3 0 m c X V v d D s s J n F 1 b 3 Q 7 U 2 V j d G l v b j E v Z m F j Z G V 0 Y W l s c 1 8 y N z A 2 O C 9 U e X B l I G d l d 2 l q e m l n Z C 5 7 V E 9 U Q U F M I E R F I E x J S k 4 s N D h 9 J n F 1 b 3 Q 7 L C Z x d W 9 0 O 1 N l Y 3 R p b 2 4 x L 2 Z h Y 2 R l d G F p b H N f M j c w N j g v V H l w Z S B n Z X d p a n p p Z 2 Q u e 1 d F U k t H R V Z F U l N C S U p E U k F H R S B E R S B M S U p O L D Q 5 f S Z x d W 9 0 O y w m c X V v d D t T Z W N 0 a W 9 u M S 9 m Y W N k Z X R h a W x z X z I 3 M D Y 4 L 1 R 5 c G U g Z 2 V 3 a W p 6 a W d k L n t X R V J L T k V N R V J C S U p E U k F H R S B E R S B M S U p O L D U w f S Z x d W 9 0 O y w m c X V v d D t T Z W N 0 a W 9 u M S 9 m Y W N k Z X R h a W x z X z I 3 M D Y 4 L 1 R 5 c G U g Z 2 V 3 a W p 6 a W d k L n t U T 1 R B Q U w g V E V D L D U x f S Z x d W 9 0 O y w m c X V v d D t T Z W N 0 a W 9 u M S 9 m Y W N k Z X R h a W x z X z I 3 M D Y 4 L 1 R 5 c G U g Z 2 V 3 a W p 6 a W d k L n t X R V J L R 0 V W R V J T Q k l K R F J B R 0 U g V E V D L D U y f S Z x d W 9 0 O y w m c X V v d D t T Z W N 0 a W 9 u M S 9 m Y W N k Z X R h a W x z X z I 3 M D Y 4 L 1 R 5 c G U g Z 2 V 3 a W p 6 a W d k L n t X R V J L T k V N R V J C S U p E U k F H R S B U R U M s N T N 9 J n F 1 b 3 Q 7 L C Z x d W 9 0 O 1 N l Y 3 R p b 2 4 x L 2 Z h Y 2 R l d G F p b H N f M j c w N j g v V H l w Z S B n Z X d p a n p p Z 2 Q u e 1 Z B T F V U Q S w 1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Z h Y 2 R l d G F p b H N f M j c w N j g v Q n J v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h Y 2 R l d G F p b H N f M j c w N j g v S G V h Z G V y c y U y M G 1 l d C U y M H Z l c m h v b 2 d k J T I w b m l 2 Z W F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F j Z G V 0 Y W l s c 1 8 y N z A 2 O C 9 U e X B l J T I w Z 2 V 3 a W p 6 a W d k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F j Z G V 0 Y W l s c 1 8 y N z A 2 O C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O D A 2 N S I g L z 4 8 R W 5 0 c n k g V H l w Z T 0 i R m l s b E V y c m 9 y Q 2 9 k Z S I g V m F s d W U 9 I n N V b m t u b 3 d u I i A v P j x F b n R y e S B U e X B l P S J G a W x s R X J y b 3 J D b 3 V u d C I g V m F s d W U 9 I m w x M D A 5 I i A v P j x F b n R y e S B U e X B l P S J G a W x s T G F z d F V w Z G F 0 Z W Q i I F Z h b H V l P S J k M j A y M C 0 x M C 0 y M V Q w O D o 1 N D o 0 O S 4 1 N D E w M z k 1 W i I g L z 4 8 R W 5 0 c n k g V H l w Z T 0 i R m l s b E N v b H V t b l R 5 c G V z I i B W Y W x 1 Z T 0 i c 0 F 3 a 0 d C Z 0 1 H Q 1 F v R 0 J n T U d D U W t E Q X d N S k N R W U d C Z 0 1 H Q m d Z R 0 N R T U d C Z 1 l E Q m d Z R 0 J R V U R B d 1 V G Q X d N R E F 3 T U R B d 0 1 E Q X d N R E J n P T 0 i I C 8 + P E V u d H J 5 I F R 5 c G U 9 I k Z p b G x D b 2 x 1 b W 5 O Y W 1 l c y I g V m F s d W U 9 I n N b J n F 1 b 3 Q 7 R k F D V F V V U i B O V U 1 N R V I m c X V v d D s s J n F 1 b 3 Q 7 R k F D V F V S Q V R J R U R B V F V N J n F 1 b 3 Q 7 L C Z x d W 9 0 O 0 9 S R 0 F O S V N N R U 5 V T U 1 F U i Z x d W 9 0 O y w m c X V v d D t O Q U F N I E 9 S R 0 F O S V N N R S Z x d W 9 0 O y w m c X V v d D t S R U R V Q 1 R J R S B D T 0 R F J n F 1 b 3 Q 7 L C Z x d W 9 0 O 1 Z F U k t P T 1 B T S 0 F O Q U F M J n F 1 b 3 Q 7 L C Z x d W 9 0 O 1 Z F U k t P T 1 B E Q V R V T S Z x d W 9 0 O y w m c X V v d D t W R V J L T 0 9 Q V V V S J n F 1 b 3 Q 7 L C Z x d W 9 0 O 1 B P U y 5 T T 0 9 S V C Z x d W 9 0 O y w m c X V v d D t Q U k 9 E V U N U T 0 1 T Q 0 h S S U p W S U 5 H J n F 1 b 3 Q 7 L C Z x d W 9 0 O 0 t M Q V N T R S Z x d W 9 0 O y w m c X V v d D t E V V V S V F l Q R S B W Q U x J R E F U S U U m c X V v d D s s J n F 1 b 3 Q 7 Q k V H S U 4 g V k F M S U R B V E l F Q k l M S k V U J n F 1 b 3 Q 7 L C Z x d W 9 0 O 0 V J T k R F I F Z B T E l E Q V R J R U J J T E p F V C Z x d W 9 0 O y w m c X V v d D t C S U x K R V R O U i Z x d W 9 0 O y w m c X V v d D t N T 0 V E R V J L Q U F S V E 5 S J n F 1 b 3 Q 7 L C Z x d W 9 0 O 0 1 P Q k l C I E t B Q V J U J n F 1 b 3 Q 7 L C Z x d W 9 0 O 0 J F R 0 l O I E 1 P R U R F U k t B Q V J U J n F 1 b 3 Q 7 L C Z x d W 9 0 O 0 V J T k R F I E 1 P R U R F U k t B Q V J U J n F 1 b 3 Q 7 L C Z x d W 9 0 O 1 Z P T 1 J O Q U F N J n F 1 b 3 Q 7 L C Z x d W 9 0 O 0 5 B Q U 0 m c X V v d D s s J n F 1 b 3 Q 7 U 1 R S Q U F U J n F 1 b 3 Q 7 L C Z x d W 9 0 O 0 h V S V N O V U 1 N R V I m c X V v d D s s J n F 1 b 3 Q 7 U E 9 T V E N P R E U m c X V v d D s s J n F 1 b 3 Q 7 R 0 V N R U V O V E U m c X V v d D s s J n F 1 b 3 Q 7 T E F O R C Z x d W 9 0 O y w m c X V v d D t H R V N M Q U N I V C Z x d W 9 0 O y w m c X V v d D t H R U J P T 1 J U R U R B V F V N J n F 1 b 3 Q 7 L C Z x d W 9 0 O 1 B F U l N P T k V F T F N O U i Z x d W 9 0 O y w m c X V v d D t W R V J U U k V L U 1 R B V E l P T i Z x d W 9 0 O y w m c X V v d D t B Q U 5 L T 0 1 T V F N U Q V R J T 0 4 m c X V v d D s s J n F 1 b 3 Q 7 V k l B I F N U Q V R J T 0 4 m c X V v d D s s J n F 1 b 3 Q 7 Q U Z T V E F O R C B O T U J T J n F 1 b 3 Q 7 L C Z x d W 9 0 O 1 N V U F B M R U 1 F T l Q g T U l W Q i Z x d W 9 0 O y w m c X V v d D t T V V B Q T E V N R U 5 U I E R F I E x J S k 4 m c X V v d D s s J n F 1 b 3 Q 7 U 1 V Q U E x F T U V O V C B U R U M m c X V v d D s s J n F 1 b 3 Q 7 V E 9 U Q U F M U F J J S l M m c X V v d D s s J n F 1 b 3 Q 7 V 0 V S S 0 d F V k V S U 0 J J S k R S Q U d F J n F 1 b 3 Q 7 L C Z x d W 9 0 O 1 d F U k t O R U 1 F U k J J S k R S Q U d F J n F 1 b 3 Q 7 L C Z x d W 9 0 O 0 d S Q V R J U y B E R U V M J n F 1 b 3 Q 7 L C Z x d W 9 0 O 1 R P V E F B T C B U U k V J T i Z x d W 9 0 O y w m c X V v d D t X R V J L R 0 V W R V J T Q k l K R F J B R 0 U g V F J F S U 4 m c X V v d D s s J n F 1 b 3 Q 7 V 0 V S S 0 5 F T U V S Q k l K R F J B R 0 U g V F J F S U 4 m c X V v d D s s J n F 1 b 3 Q 7 R 1 J B V E l T I E R F R U w g V F J F S U 4 m c X V v d D s s J n F 1 b 3 Q 7 V E 9 U Q U F M I E 1 J V k I m c X V v d D s s J n F 1 b 3 Q 7 V 0 V S S 0 d F V k V S U 0 J J S k R S Q U d F I E 1 J V k I m c X V v d D s s J n F 1 b 3 Q 7 V 0 V S S 0 5 F T U V S Q k l K R F J B R 0 U g T U l W Q i Z x d W 9 0 O y w m c X V v d D t H U k F U S V M g R E V F T C B N S V Z C J n F 1 b 3 Q 7 L C Z x d W 9 0 O 1 R P V E F B T C B E R S B M S U p O J n F 1 b 3 Q 7 L C Z x d W 9 0 O 1 d F U k t H R V Z F U l N C S U p E U k F H R S B E R S B M S U p O J n F 1 b 3 Q 7 L C Z x d W 9 0 O 1 d F U k t O R U 1 F U k J J S k R S Q U d F I E R F I E x J S k 4 m c X V v d D s s J n F 1 b 3 Q 7 V E 9 U Q U F M I F R F Q y Z x d W 9 0 O y w m c X V v d D t X R V J L R 0 V W R V J T Q k l K R F J B R 0 U g V E V D J n F 1 b 3 Q 7 L C Z x d W 9 0 O 1 d F U k t O R U 1 F U k J J S k R S Q U d F I F R F Q y Z x d W 9 0 O y w m c X V v d D t W Q U x V V E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F j Z G V 0 Y W l s c 1 8 y N z A 2 O C A o M i k v V H l w Z S B n Z X d p a n p p Z 2 Q u e 0 Z B Q 1 R V V V I g T l V N T U V S L D B 9 J n F 1 b 3 Q 7 L C Z x d W 9 0 O 1 N l Y 3 R p b 2 4 x L 2 Z h Y 2 R l d G F p b H N f M j c w N j g g K D I p L 1 R 5 c G U g Z 2 V 3 a W p 6 a W d k L n t G Q U N U V V J B V E l F R E F U V U 0 s M X 0 m c X V v d D s s J n F 1 b 3 Q 7 U 2 V j d G l v b j E v Z m F j Z G V 0 Y W l s c 1 8 y N z A 2 O C A o M i k v V H l w Z S B n Z X d p a n p p Z 2 Q u e 0 9 S R 0 F O S V N N R U 5 V T U 1 F U i w y f S Z x d W 9 0 O y w m c X V v d D t T Z W N 0 a W 9 u M S 9 m Y W N k Z X R h a W x z X z I 3 M D Y 4 I C g y K S 9 U e X B l I G d l d 2 l q e m l n Z C 5 7 T k F B T S B P U k d B T k l T T U U s M 3 0 m c X V v d D s s J n F 1 b 3 Q 7 U 2 V j d G l v b j E v Z m F j Z G V 0 Y W l s c 1 8 y N z A 2 O C A o M i k v V H l w Z S B n Z X d p a n p p Z 2 Q u e 1 J F R F V D V E l F I E N P R E U s N H 0 m c X V v d D s s J n F 1 b 3 Q 7 U 2 V j d G l v b j E v Z m F j Z G V 0 Y W l s c 1 8 y N z A 2 O C A o M i k v V H l w Z S B n Z X d p a n p p Z 2 Q u e 1 Z F U k t P T 1 B T S 0 F O Q U F M L D V 9 J n F 1 b 3 Q 7 L C Z x d W 9 0 O 1 N l Y 3 R p b 2 4 x L 2 Z h Y 2 R l d G F p b H N f M j c w N j g g K D I p L 1 R 5 c G U g Z 2 V 3 a W p 6 a W d k L n t W R V J L T 0 9 Q R E F U V U 0 s N n 0 m c X V v d D s s J n F 1 b 3 Q 7 U 2 V j d G l v b j E v Z m F j Z G V 0 Y W l s c 1 8 y N z A 2 O C A o M i k v V H l w Z S B n Z X d p a n p p Z 2 Q u e 1 Z F U k t P T 1 B V V V I s N 3 0 m c X V v d D s s J n F 1 b 3 Q 7 U 2 V j d G l v b j E v Z m F j Z G V 0 Y W l s c 1 8 y N z A 2 O C A o M i k v V H l w Z S B n Z X d p a n p p Z 2 Q u e 1 B P U y 5 T T 0 9 S V C w 4 f S Z x d W 9 0 O y w m c X V v d D t T Z W N 0 a W 9 u M S 9 m Y W N k Z X R h a W x z X z I 3 M D Y 4 I C g y K S 9 U e X B l I G d l d 2 l q e m l n Z C 5 7 U F J P R F V D V E 9 N U 0 N I U k l K V k l O R y w 5 f S Z x d W 9 0 O y w m c X V v d D t T Z W N 0 a W 9 u M S 9 m Y W N k Z X R h a W x z X z I 3 M D Y 4 I C g y K S 9 U e X B l I G d l d 2 l q e m l n Z C 5 7 S 0 x B U 1 N F L D E w f S Z x d W 9 0 O y w m c X V v d D t T Z W N 0 a W 9 u M S 9 m Y W N k Z X R h a W x z X z I 3 M D Y 4 I C g y K S 9 U e X B l I G d l d 2 l q e m l n Z C 5 7 R F V V U l R Z U E U g V k F M S U R B V E l F L D E x f S Z x d W 9 0 O y w m c X V v d D t T Z W N 0 a W 9 u M S 9 m Y W N k Z X R h a W x z X z I 3 M D Y 4 I C g y K S 9 U e X B l I G d l d 2 l q e m l n Z C 5 7 Q k V H S U 4 g V k F M S U R B V E l F Q k l M S k V U L D E y f S Z x d W 9 0 O y w m c X V v d D t T Z W N 0 a W 9 u M S 9 m Y W N k Z X R h a W x z X z I 3 M D Y 4 I C g y K S 9 U e X B l I G d l d 2 l q e m l n Z C 5 7 R U l O R E U g V k F M S U R B V E l F Q k l M S k V U L D E z f S Z x d W 9 0 O y w m c X V v d D t T Z W N 0 a W 9 u M S 9 m Y W N k Z X R h a W x z X z I 3 M D Y 4 I C g y K S 9 U e X B l I G d l d 2 l q e m l n Z C 5 7 Q k l M S k V U T l I s M T R 9 J n F 1 b 3 Q 7 L C Z x d W 9 0 O 1 N l Y 3 R p b 2 4 x L 2 Z h Y 2 R l d G F p b H N f M j c w N j g g K D I p L 1 R 5 c G U g Z 2 V 3 a W p 6 a W d k L n t N T 0 V E R V J L Q U F S V E 5 S L D E 1 f S Z x d W 9 0 O y w m c X V v d D t T Z W N 0 a W 9 u M S 9 m Y W N k Z X R h a W x z X z I 3 M D Y 4 I C g y K S 9 U e X B l I G d l d 2 l q e m l n Z C 5 7 T U 9 C S U I g S 0 F B U l Q s M T Z 9 J n F 1 b 3 Q 7 L C Z x d W 9 0 O 1 N l Y 3 R p b 2 4 x L 2 Z h Y 2 R l d G F p b H N f M j c w N j g g K D I p L 1 R 5 c G U g Z 2 V 3 a W p 6 a W d k L n t C R U d J T i B N T 0 V E R V J L Q U F S V C w x N 3 0 m c X V v d D s s J n F 1 b 3 Q 7 U 2 V j d G l v b j E v Z m F j Z G V 0 Y W l s c 1 8 y N z A 2 O C A o M i k v V H l w Z S B n Z X d p a n p p Z 2 Q u e 0 V J T k R F I E 1 P R U R F U k t B Q V J U L D E 4 f S Z x d W 9 0 O y w m c X V v d D t T Z W N 0 a W 9 u M S 9 m Y W N k Z X R h a W x z X z I 3 M D Y 4 I C g y K S 9 U e X B l I G d l d 2 l q e m l n Z C 5 7 V k 9 P U k 5 B Q U 0 s M T l 9 J n F 1 b 3 Q 7 L C Z x d W 9 0 O 1 N l Y 3 R p b 2 4 x L 2 Z h Y 2 R l d G F p b H N f M j c w N j g g K D I p L 1 R 5 c G U g Z 2 V 3 a W p 6 a W d k L n t O Q U F N L D I w f S Z x d W 9 0 O y w m c X V v d D t T Z W N 0 a W 9 u M S 9 m Y W N k Z X R h a W x z X z I 3 M D Y 4 I C g y K S 9 U e X B l I G d l d 2 l q e m l n Z C 5 7 U 1 R S Q U F U L D I x f S Z x d W 9 0 O y w m c X V v d D t T Z W N 0 a W 9 u M S 9 m Y W N k Z X R h a W x z X z I 3 M D Y 4 I C g y K S 9 U e X B l I G d l d 2 l q e m l n Z C 5 7 S F V J U 0 5 V T U 1 F U i w y M n 0 m c X V v d D s s J n F 1 b 3 Q 7 U 2 V j d G l v b j E v Z m F j Z G V 0 Y W l s c 1 8 y N z A 2 O C A o M i k v V H l w Z S B n Z X d p a n p p Z 2 Q u e 1 B P U 1 R D T 0 R F L D I z f S Z x d W 9 0 O y w m c X V v d D t T Z W N 0 a W 9 u M S 9 m Y W N k Z X R h a W x z X z I 3 M D Y 4 I C g y K S 9 U e X B l I G d l d 2 l q e m l n Z C 5 7 R 0 V N R U V O V E U s M j R 9 J n F 1 b 3 Q 7 L C Z x d W 9 0 O 1 N l Y 3 R p b 2 4 x L 2 Z h Y 2 R l d G F p b H N f M j c w N j g g K D I p L 1 R 5 c G U g Z 2 V 3 a W p 6 a W d k L n t M Q U 5 E L D I 1 f S Z x d W 9 0 O y w m c X V v d D t T Z W N 0 a W 9 u M S 9 m Y W N k Z X R h a W x z X z I 3 M D Y 4 I C g y K S 9 U e X B l I G d l d 2 l q e m l n Z C 5 7 R 0 V T T E F D S F Q s M j Z 9 J n F 1 b 3 Q 7 L C Z x d W 9 0 O 1 N l Y 3 R p b 2 4 x L 2 Z h Y 2 R l d G F p b H N f M j c w N j g g K D I p L 1 R 5 c G U g Z 2 V 3 a W p 6 a W d k L n t H R U J P T 1 J U R U R B V F V N L D I 3 f S Z x d W 9 0 O y w m c X V v d D t T Z W N 0 a W 9 u M S 9 m Y W N k Z X R h a W x z X z I 3 M D Y 4 I C g y K S 9 U e X B l I G d l d 2 l q e m l n Z C 5 7 U E V S U 0 9 O R U V M U 0 5 S L D I 4 f S Z x d W 9 0 O y w m c X V v d D t T Z W N 0 a W 9 u M S 9 m Y W N k Z X R h a W x z X z I 3 M D Y 4 I C g y K S 9 U e X B l I G d l d 2 l q e m l n Z C 5 7 V k V S V F J F S 1 N U Q V R J T 0 4 s M j l 9 J n F 1 b 3 Q 7 L C Z x d W 9 0 O 1 N l Y 3 R p b 2 4 x L 2 Z h Y 2 R l d G F p b H N f M j c w N j g g K D I p L 1 R 5 c G U g Z 2 V 3 a W p 6 a W d k L n t B Q U 5 L T 0 1 T V F N U Q V R J T 0 4 s M z B 9 J n F 1 b 3 Q 7 L C Z x d W 9 0 O 1 N l Y 3 R p b 2 4 x L 2 Z h Y 2 R l d G F p b H N f M j c w N j g g K D I p L 1 R 5 c G U g Z 2 V 3 a W p 6 a W d k L n t W S U E g U 1 R B V E l P T i w z M X 0 m c X V v d D s s J n F 1 b 3 Q 7 U 2 V j d G l v b j E v Z m F j Z G V 0 Y W l s c 1 8 y N z A 2 O C A o M i k v V H l w Z S B n Z X d p a n p p Z 2 Q u e 0 F G U 1 R B T k Q g T k 1 C U y w z M n 0 m c X V v d D s s J n F 1 b 3 Q 7 U 2 V j d G l v b j E v Z m F j Z G V 0 Y W l s c 1 8 y N z A 2 O C A o M i k v V H l w Z S B n Z X d p a n p p Z 2 Q u e 1 N V U F B M R U 1 F T l Q g T U l W Q i w z M 3 0 m c X V v d D s s J n F 1 b 3 Q 7 U 2 V j d G l v b j E v Z m F j Z G V 0 Y W l s c 1 8 y N z A 2 O C A o M i k v V H l w Z S B n Z X d p a n p p Z 2 Q u e 1 N V U F B M R U 1 F T l Q g R E U g T E l K T i w z N H 0 m c X V v d D s s J n F 1 b 3 Q 7 U 2 V j d G l v b j E v Z m F j Z G V 0 Y W l s c 1 8 y N z A 2 O C A o M i k v V H l w Z S B n Z X d p a n p p Z 2 Q u e 1 N V U F B M R U 1 F T l Q g V E V D L D M 1 f S Z x d W 9 0 O y w m c X V v d D t T Z W N 0 a W 9 u M S 9 m Y W N k Z X R h a W x z X z I 3 M D Y 4 I C g y K S 9 U e X B l I G d l d 2 l q e m l n Z C 5 7 V E 9 U Q U F M U F J J S l M s M z Z 9 J n F 1 b 3 Q 7 L C Z x d W 9 0 O 1 N l Y 3 R p b 2 4 x L 2 Z h Y 2 R l d G F p b H N f M j c w N j g g K D I p L 1 R 5 c G U g Z 2 V 3 a W p 6 a W d k L n t X R V J L R 0 V W R V J T Q k l K R F J B R 0 U s M z d 9 J n F 1 b 3 Q 7 L C Z x d W 9 0 O 1 N l Y 3 R p b 2 4 x L 2 Z h Y 2 R l d G F p b H N f M j c w N j g g K D I p L 1 R 5 c G U g Z 2 V 3 a W p 6 a W d k L n t X R V J L T k V N R V J C S U p E U k F H R S w z O H 0 m c X V v d D s s J n F 1 b 3 Q 7 U 2 V j d G l v b j E v Z m F j Z G V 0 Y W l s c 1 8 y N z A 2 O C A o M i k v V H l w Z S B n Z X d p a n p p Z 2 Q u e 0 d S Q V R J U y B E R U V M L D M 5 f S Z x d W 9 0 O y w m c X V v d D t T Z W N 0 a W 9 u M S 9 m Y W N k Z X R h a W x z X z I 3 M D Y 4 I C g y K S 9 U e X B l I G d l d 2 l q e m l n Z C 5 7 V E 9 U Q U F M I F R S R U l O L D Q w f S Z x d W 9 0 O y w m c X V v d D t T Z W N 0 a W 9 u M S 9 m Y W N k Z X R h a W x z X z I 3 M D Y 4 I C g y K S 9 U e X B l I G d l d 2 l q e m l n Z C 5 7 V 0 V S S 0 d F V k V S U 0 J J S k R S Q U d F I F R S R U l O L D Q x f S Z x d W 9 0 O y w m c X V v d D t T Z W N 0 a W 9 u M S 9 m Y W N k Z X R h a W x z X z I 3 M D Y 4 I C g y K S 9 U e X B l I G d l d 2 l q e m l n Z C 5 7 V 0 V S S 0 5 F T U V S Q k l K R F J B R 0 U g V F J F S U 4 s N D J 9 J n F 1 b 3 Q 7 L C Z x d W 9 0 O 1 N l Y 3 R p b 2 4 x L 2 Z h Y 2 R l d G F p b H N f M j c w N j g g K D I p L 1 R 5 c G U g Z 2 V 3 a W p 6 a W d k L n t H U k F U S V M g R E V F T C B U U k V J T i w 0 M 3 0 m c X V v d D s s J n F 1 b 3 Q 7 U 2 V j d G l v b j E v Z m F j Z G V 0 Y W l s c 1 8 y N z A 2 O C A o M i k v V H l w Z S B n Z X d p a n p p Z 2 Q u e 1 R P V E F B T C B N S V Z C L D Q 0 f S Z x d W 9 0 O y w m c X V v d D t T Z W N 0 a W 9 u M S 9 m Y W N k Z X R h a W x z X z I 3 M D Y 4 I C g y K S 9 U e X B l I G d l d 2 l q e m l n Z C 5 7 V 0 V S S 0 d F V k V S U 0 J J S k R S Q U d F I E 1 J V k I s N D V 9 J n F 1 b 3 Q 7 L C Z x d W 9 0 O 1 N l Y 3 R p b 2 4 x L 2 Z h Y 2 R l d G F p b H N f M j c w N j g g K D I p L 1 R 5 c G U g Z 2 V 3 a W p 6 a W d k L n t X R V J L T k V N R V J C S U p E U k F H R S B N S V Z C L D Q 2 f S Z x d W 9 0 O y w m c X V v d D t T Z W N 0 a W 9 u M S 9 m Y W N k Z X R h a W x z X z I 3 M D Y 4 I C g y K S 9 U e X B l I G d l d 2 l q e m l n Z C 5 7 R 1 J B V E l T I E R F R U w g T U l W Q i w 0 N 3 0 m c X V v d D s s J n F 1 b 3 Q 7 U 2 V j d G l v b j E v Z m F j Z G V 0 Y W l s c 1 8 y N z A 2 O C A o M i k v V H l w Z S B n Z X d p a n p p Z 2 Q u e 1 R P V E F B T C B E R S B M S U p O L D Q 4 f S Z x d W 9 0 O y w m c X V v d D t T Z W N 0 a W 9 u M S 9 m Y W N k Z X R h a W x z X z I 3 M D Y 4 I C g y K S 9 U e X B l I G d l d 2 l q e m l n Z C 5 7 V 0 V S S 0 d F V k V S U 0 J J S k R S Q U d F I E R F I E x J S k 4 s N D l 9 J n F 1 b 3 Q 7 L C Z x d W 9 0 O 1 N l Y 3 R p b 2 4 x L 2 Z h Y 2 R l d G F p b H N f M j c w N j g g K D I p L 1 R 5 c G U g Z 2 V 3 a W p 6 a W d k L n t X R V J L T k V N R V J C S U p E U k F H R S B E R S B M S U p O L D U w f S Z x d W 9 0 O y w m c X V v d D t T Z W N 0 a W 9 u M S 9 m Y W N k Z X R h a W x z X z I 3 M D Y 4 I C g y K S 9 U e X B l I G d l d 2 l q e m l n Z C 5 7 V E 9 U Q U F M I F R F Q y w 1 M X 0 m c X V v d D s s J n F 1 b 3 Q 7 U 2 V j d G l v b j E v Z m F j Z G V 0 Y W l s c 1 8 y N z A 2 O C A o M i k v V H l w Z S B n Z X d p a n p p Z 2 Q u e 1 d F U k t H R V Z F U l N C S U p E U k F H R S B U R U M s N T J 9 J n F 1 b 3 Q 7 L C Z x d W 9 0 O 1 N l Y 3 R p b 2 4 x L 2 Z h Y 2 R l d G F p b H N f M j c w N j g g K D I p L 1 R 5 c G U g Z 2 V 3 a W p 6 a W d k L n t X R V J L T k V N R V J C S U p E U k F H R S B U R U M s N T N 9 J n F 1 b 3 Q 7 L C Z x d W 9 0 O 1 N l Y 3 R p b 2 4 x L 2 Z h Y 2 R l d G F p b H N f M j c w N j g g K D I p L 1 R 5 c G U g Z 2 V 3 a W p 6 a W d k L n t W Q U x V V E E s N T R 9 J n F 1 b 3 Q 7 X S w m c X V v d D t D b 2 x 1 b W 5 D b 3 V u d C Z x d W 9 0 O z o 1 N S w m c X V v d D t L Z X l D b 2 x 1 b W 5 O Y W 1 l c y Z x d W 9 0 O z p b X S w m c X V v d D t D b 2 x 1 b W 5 J Z G V u d G l 0 a W V z J n F 1 b 3 Q 7 O l s m c X V v d D t T Z W N 0 a W 9 u M S 9 m Y W N k Z X R h a W x z X z I 3 M D Y 4 I C g y K S 9 U e X B l I G d l d 2 l q e m l n Z C 5 7 R k F D V F V V U i B O V U 1 N R V I s M H 0 m c X V v d D s s J n F 1 b 3 Q 7 U 2 V j d G l v b j E v Z m F j Z G V 0 Y W l s c 1 8 y N z A 2 O C A o M i k v V H l w Z S B n Z X d p a n p p Z 2 Q u e 0 Z B Q 1 R V U k F U S U V E Q V R V T S w x f S Z x d W 9 0 O y w m c X V v d D t T Z W N 0 a W 9 u M S 9 m Y W N k Z X R h a W x z X z I 3 M D Y 4 I C g y K S 9 U e X B l I G d l d 2 l q e m l n Z C 5 7 T 1 J H Q U 5 J U 0 1 F T l V N T U V S L D J 9 J n F 1 b 3 Q 7 L C Z x d W 9 0 O 1 N l Y 3 R p b 2 4 x L 2 Z h Y 2 R l d G F p b H N f M j c w N j g g K D I p L 1 R 5 c G U g Z 2 V 3 a W p 6 a W d k L n t O Q U F N I E 9 S R 0 F O S V N N R S w z f S Z x d W 9 0 O y w m c X V v d D t T Z W N 0 a W 9 u M S 9 m Y W N k Z X R h a W x z X z I 3 M D Y 4 I C g y K S 9 U e X B l I G d l d 2 l q e m l n Z C 5 7 U k V E V U N U S U U g Q 0 9 E R S w 0 f S Z x d W 9 0 O y w m c X V v d D t T Z W N 0 a W 9 u M S 9 m Y W N k Z X R h a W x z X z I 3 M D Y 4 I C g y K S 9 U e X B l I G d l d 2 l q e m l n Z C 5 7 V k V S S 0 9 P U F N L Q U 5 B Q U w s N X 0 m c X V v d D s s J n F 1 b 3 Q 7 U 2 V j d G l v b j E v Z m F j Z G V 0 Y W l s c 1 8 y N z A 2 O C A o M i k v V H l w Z S B n Z X d p a n p p Z 2 Q u e 1 Z F U k t P T 1 B E Q V R V T S w 2 f S Z x d W 9 0 O y w m c X V v d D t T Z W N 0 a W 9 u M S 9 m Y W N k Z X R h a W x z X z I 3 M D Y 4 I C g y K S 9 U e X B l I G d l d 2 l q e m l n Z C 5 7 V k V S S 0 9 P U F V V U i w 3 f S Z x d W 9 0 O y w m c X V v d D t T Z W N 0 a W 9 u M S 9 m Y W N k Z X R h a W x z X z I 3 M D Y 4 I C g y K S 9 U e X B l I G d l d 2 l q e m l n Z C 5 7 U E 9 T L l N P T 1 J U L D h 9 J n F 1 b 3 Q 7 L C Z x d W 9 0 O 1 N l Y 3 R p b 2 4 x L 2 Z h Y 2 R l d G F p b H N f M j c w N j g g K D I p L 1 R 5 c G U g Z 2 V 3 a W p 6 a W d k L n t Q U k 9 E V U N U T 0 1 T Q 0 h S S U p W S U 5 H L D l 9 J n F 1 b 3 Q 7 L C Z x d W 9 0 O 1 N l Y 3 R p b 2 4 x L 2 Z h Y 2 R l d G F p b H N f M j c w N j g g K D I p L 1 R 5 c G U g Z 2 V 3 a W p 6 a W d k L n t L T E F T U 0 U s M T B 9 J n F 1 b 3 Q 7 L C Z x d W 9 0 O 1 N l Y 3 R p b 2 4 x L 2 Z h Y 2 R l d G F p b H N f M j c w N j g g K D I p L 1 R 5 c G U g Z 2 V 3 a W p 6 a W d k L n t E V V V S V F l Q R S B W Q U x J R E F U S U U s M T F 9 J n F 1 b 3 Q 7 L C Z x d W 9 0 O 1 N l Y 3 R p b 2 4 x L 2 Z h Y 2 R l d G F p b H N f M j c w N j g g K D I p L 1 R 5 c G U g Z 2 V 3 a W p 6 a W d k L n t C R U d J T i B W Q U x J R E F U S U V C S U x K R V Q s M T J 9 J n F 1 b 3 Q 7 L C Z x d W 9 0 O 1 N l Y 3 R p b 2 4 x L 2 Z h Y 2 R l d G F p b H N f M j c w N j g g K D I p L 1 R 5 c G U g Z 2 V 3 a W p 6 a W d k L n t F S U 5 E R S B W Q U x J R E F U S U V C S U x K R V Q s M T N 9 J n F 1 b 3 Q 7 L C Z x d W 9 0 O 1 N l Y 3 R p b 2 4 x L 2 Z h Y 2 R l d G F p b H N f M j c w N j g g K D I p L 1 R 5 c G U g Z 2 V 3 a W p 6 a W d k L n t C S U x K R V R O U i w x N H 0 m c X V v d D s s J n F 1 b 3 Q 7 U 2 V j d G l v b j E v Z m F j Z G V 0 Y W l s c 1 8 y N z A 2 O C A o M i k v V H l w Z S B n Z X d p a n p p Z 2 Q u e 0 1 P R U R F U k t B Q V J U T l I s M T V 9 J n F 1 b 3 Q 7 L C Z x d W 9 0 O 1 N l Y 3 R p b 2 4 x L 2 Z h Y 2 R l d G F p b H N f M j c w N j g g K D I p L 1 R 5 c G U g Z 2 V 3 a W p 6 a W d k L n t N T 0 J J Q i B L Q U F S V C w x N n 0 m c X V v d D s s J n F 1 b 3 Q 7 U 2 V j d G l v b j E v Z m F j Z G V 0 Y W l s c 1 8 y N z A 2 O C A o M i k v V H l w Z S B n Z X d p a n p p Z 2 Q u e 0 J F R 0 l O I E 1 P R U R F U k t B Q V J U L D E 3 f S Z x d W 9 0 O y w m c X V v d D t T Z W N 0 a W 9 u M S 9 m Y W N k Z X R h a W x z X z I 3 M D Y 4 I C g y K S 9 U e X B l I G d l d 2 l q e m l n Z C 5 7 R U l O R E U g T U 9 F R E V S S 0 F B U l Q s M T h 9 J n F 1 b 3 Q 7 L C Z x d W 9 0 O 1 N l Y 3 R p b 2 4 x L 2 Z h Y 2 R l d G F p b H N f M j c w N j g g K D I p L 1 R 5 c G U g Z 2 V 3 a W p 6 a W d k L n t W T 0 9 S T k F B T S w x O X 0 m c X V v d D s s J n F 1 b 3 Q 7 U 2 V j d G l v b j E v Z m F j Z G V 0 Y W l s c 1 8 y N z A 2 O C A o M i k v V H l w Z S B n Z X d p a n p p Z 2 Q u e 0 5 B Q U 0 s M j B 9 J n F 1 b 3 Q 7 L C Z x d W 9 0 O 1 N l Y 3 R p b 2 4 x L 2 Z h Y 2 R l d G F p b H N f M j c w N j g g K D I p L 1 R 5 c G U g Z 2 V 3 a W p 6 a W d k L n t T V F J B Q V Q s M j F 9 J n F 1 b 3 Q 7 L C Z x d W 9 0 O 1 N l Y 3 R p b 2 4 x L 2 Z h Y 2 R l d G F p b H N f M j c w N j g g K D I p L 1 R 5 c G U g Z 2 V 3 a W p 6 a W d k L n t I V U l T T l V N T U V S L D I y f S Z x d W 9 0 O y w m c X V v d D t T Z W N 0 a W 9 u M S 9 m Y W N k Z X R h a W x z X z I 3 M D Y 4 I C g y K S 9 U e X B l I G d l d 2 l q e m l n Z C 5 7 U E 9 T V E N P R E U s M j N 9 J n F 1 b 3 Q 7 L C Z x d W 9 0 O 1 N l Y 3 R p b 2 4 x L 2 Z h Y 2 R l d G F p b H N f M j c w N j g g K D I p L 1 R 5 c G U g Z 2 V 3 a W p 6 a W d k L n t H R U 1 F R U 5 U R S w y N H 0 m c X V v d D s s J n F 1 b 3 Q 7 U 2 V j d G l v b j E v Z m F j Z G V 0 Y W l s c 1 8 y N z A 2 O C A o M i k v V H l w Z S B n Z X d p a n p p Z 2 Q u e 0 x B T k Q s M j V 9 J n F 1 b 3 Q 7 L C Z x d W 9 0 O 1 N l Y 3 R p b 2 4 x L 2 Z h Y 2 R l d G F p b H N f M j c w N j g g K D I p L 1 R 5 c G U g Z 2 V 3 a W p 6 a W d k L n t H R V N M Q U N I V C w y N n 0 m c X V v d D s s J n F 1 b 3 Q 7 U 2 V j d G l v b j E v Z m F j Z G V 0 Y W l s c 1 8 y N z A 2 O C A o M i k v V H l w Z S B n Z X d p a n p p Z 2 Q u e 0 d F Q k 9 P U l R F R E F U V U 0 s M j d 9 J n F 1 b 3 Q 7 L C Z x d W 9 0 O 1 N l Y 3 R p b 2 4 x L 2 Z h Y 2 R l d G F p b H N f M j c w N j g g K D I p L 1 R 5 c G U g Z 2 V 3 a W p 6 a W d k L n t Q R V J T T 0 5 F R U x T T l I s M j h 9 J n F 1 b 3 Q 7 L C Z x d W 9 0 O 1 N l Y 3 R p b 2 4 x L 2 Z h Y 2 R l d G F p b H N f M j c w N j g g K D I p L 1 R 5 c G U g Z 2 V 3 a W p 6 a W d k L n t W R V J U U k V L U 1 R B V E l P T i w y O X 0 m c X V v d D s s J n F 1 b 3 Q 7 U 2 V j d G l v b j E v Z m F j Z G V 0 Y W l s c 1 8 y N z A 2 O C A o M i k v V H l w Z S B n Z X d p a n p p Z 2 Q u e 0 F B T k t P T V N U U 1 R B V E l P T i w z M H 0 m c X V v d D s s J n F 1 b 3 Q 7 U 2 V j d G l v b j E v Z m F j Z G V 0 Y W l s c 1 8 y N z A 2 O C A o M i k v V H l w Z S B n Z X d p a n p p Z 2 Q u e 1 Z J Q S B T V E F U S U 9 O L D M x f S Z x d W 9 0 O y w m c X V v d D t T Z W N 0 a W 9 u M S 9 m Y W N k Z X R h a W x z X z I 3 M D Y 4 I C g y K S 9 U e X B l I G d l d 2 l q e m l n Z C 5 7 Q U Z T V E F O R C B O T U J T L D M y f S Z x d W 9 0 O y w m c X V v d D t T Z W N 0 a W 9 u M S 9 m Y W N k Z X R h a W x z X z I 3 M D Y 4 I C g y K S 9 U e X B l I G d l d 2 l q e m l n Z C 5 7 U 1 V Q U E x F T U V O V C B N S V Z C L D M z f S Z x d W 9 0 O y w m c X V v d D t T Z W N 0 a W 9 u M S 9 m Y W N k Z X R h a W x z X z I 3 M D Y 4 I C g y K S 9 U e X B l I G d l d 2 l q e m l n Z C 5 7 U 1 V Q U E x F T U V O V C B E R S B M S U p O L D M 0 f S Z x d W 9 0 O y w m c X V v d D t T Z W N 0 a W 9 u M S 9 m Y W N k Z X R h a W x z X z I 3 M D Y 4 I C g y K S 9 U e X B l I G d l d 2 l q e m l n Z C 5 7 U 1 V Q U E x F T U V O V C B U R U M s M z V 9 J n F 1 b 3 Q 7 L C Z x d W 9 0 O 1 N l Y 3 R p b 2 4 x L 2 Z h Y 2 R l d G F p b H N f M j c w N j g g K D I p L 1 R 5 c G U g Z 2 V 3 a W p 6 a W d k L n t U T 1 R B Q U x Q U k l K U y w z N n 0 m c X V v d D s s J n F 1 b 3 Q 7 U 2 V j d G l v b j E v Z m F j Z G V 0 Y W l s c 1 8 y N z A 2 O C A o M i k v V H l w Z S B n Z X d p a n p p Z 2 Q u e 1 d F U k t H R V Z F U l N C S U p E U k F H R S w z N 3 0 m c X V v d D s s J n F 1 b 3 Q 7 U 2 V j d G l v b j E v Z m F j Z G V 0 Y W l s c 1 8 y N z A 2 O C A o M i k v V H l w Z S B n Z X d p a n p p Z 2 Q u e 1 d F U k t O R U 1 F U k J J S k R S Q U d F L D M 4 f S Z x d W 9 0 O y w m c X V v d D t T Z W N 0 a W 9 u M S 9 m Y W N k Z X R h a W x z X z I 3 M D Y 4 I C g y K S 9 U e X B l I G d l d 2 l q e m l n Z C 5 7 R 1 J B V E l T I E R F R U w s M z l 9 J n F 1 b 3 Q 7 L C Z x d W 9 0 O 1 N l Y 3 R p b 2 4 x L 2 Z h Y 2 R l d G F p b H N f M j c w N j g g K D I p L 1 R 5 c G U g Z 2 V 3 a W p 6 a W d k L n t U T 1 R B Q U w g V F J F S U 4 s N D B 9 J n F 1 b 3 Q 7 L C Z x d W 9 0 O 1 N l Y 3 R p b 2 4 x L 2 Z h Y 2 R l d G F p b H N f M j c w N j g g K D I p L 1 R 5 c G U g Z 2 V 3 a W p 6 a W d k L n t X R V J L R 0 V W R V J T Q k l K R F J B R 0 U g V F J F S U 4 s N D F 9 J n F 1 b 3 Q 7 L C Z x d W 9 0 O 1 N l Y 3 R p b 2 4 x L 2 Z h Y 2 R l d G F p b H N f M j c w N j g g K D I p L 1 R 5 c G U g Z 2 V 3 a W p 6 a W d k L n t X R V J L T k V N R V J C S U p E U k F H R S B U U k V J T i w 0 M n 0 m c X V v d D s s J n F 1 b 3 Q 7 U 2 V j d G l v b j E v Z m F j Z G V 0 Y W l s c 1 8 y N z A 2 O C A o M i k v V H l w Z S B n Z X d p a n p p Z 2 Q u e 0 d S Q V R J U y B E R U V M I F R S R U l O L D Q z f S Z x d W 9 0 O y w m c X V v d D t T Z W N 0 a W 9 u M S 9 m Y W N k Z X R h a W x z X z I 3 M D Y 4 I C g y K S 9 U e X B l I G d l d 2 l q e m l n Z C 5 7 V E 9 U Q U F M I E 1 J V k I s N D R 9 J n F 1 b 3 Q 7 L C Z x d W 9 0 O 1 N l Y 3 R p b 2 4 x L 2 Z h Y 2 R l d G F p b H N f M j c w N j g g K D I p L 1 R 5 c G U g Z 2 V 3 a W p 6 a W d k L n t X R V J L R 0 V W R V J T Q k l K R F J B R 0 U g T U l W Q i w 0 N X 0 m c X V v d D s s J n F 1 b 3 Q 7 U 2 V j d G l v b j E v Z m F j Z G V 0 Y W l s c 1 8 y N z A 2 O C A o M i k v V H l w Z S B n Z X d p a n p p Z 2 Q u e 1 d F U k t O R U 1 F U k J J S k R S Q U d F I E 1 J V k I s N D Z 9 J n F 1 b 3 Q 7 L C Z x d W 9 0 O 1 N l Y 3 R p b 2 4 x L 2 Z h Y 2 R l d G F p b H N f M j c w N j g g K D I p L 1 R 5 c G U g Z 2 V 3 a W p 6 a W d k L n t H U k F U S V M g R E V F T C B N S V Z C L D Q 3 f S Z x d W 9 0 O y w m c X V v d D t T Z W N 0 a W 9 u M S 9 m Y W N k Z X R h a W x z X z I 3 M D Y 4 I C g y K S 9 U e X B l I G d l d 2 l q e m l n Z C 5 7 V E 9 U Q U F M I E R F I E x J S k 4 s N D h 9 J n F 1 b 3 Q 7 L C Z x d W 9 0 O 1 N l Y 3 R p b 2 4 x L 2 Z h Y 2 R l d G F p b H N f M j c w N j g g K D I p L 1 R 5 c G U g Z 2 V 3 a W p 6 a W d k L n t X R V J L R 0 V W R V J T Q k l K R F J B R 0 U g R E U g T E l K T i w 0 O X 0 m c X V v d D s s J n F 1 b 3 Q 7 U 2 V j d G l v b j E v Z m F j Z G V 0 Y W l s c 1 8 y N z A 2 O C A o M i k v V H l w Z S B n Z X d p a n p p Z 2 Q u e 1 d F U k t O R U 1 F U k J J S k R S Q U d F I E R F I E x J S k 4 s N T B 9 J n F 1 b 3 Q 7 L C Z x d W 9 0 O 1 N l Y 3 R p b 2 4 x L 2 Z h Y 2 R l d G F p b H N f M j c w N j g g K D I p L 1 R 5 c G U g Z 2 V 3 a W p 6 a W d k L n t U T 1 R B Q U w g V E V D L D U x f S Z x d W 9 0 O y w m c X V v d D t T Z W N 0 a W 9 u M S 9 m Y W N k Z X R h a W x z X z I 3 M D Y 4 I C g y K S 9 U e X B l I G d l d 2 l q e m l n Z C 5 7 V 0 V S S 0 d F V k V S U 0 J J S k R S Q U d F I F R F Q y w 1 M n 0 m c X V v d D s s J n F 1 b 3 Q 7 U 2 V j d G l v b j E v Z m F j Z G V 0 Y W l s c 1 8 y N z A 2 O C A o M i k v V H l w Z S B n Z X d p a n p p Z 2 Q u e 1 d F U k t O R U 1 F U k J J S k R S Q U d F I F R F Q y w 1 M 3 0 m c X V v d D s s J n F 1 b 3 Q 7 U 2 V j d G l v b j E v Z m F j Z G V 0 Y W l s c 1 8 y N z A 2 O C A o M i k v V H l w Z S B n Z X d p a n p p Z 2 Q u e 1 Z B T F V U Q S w 1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Z h Y 2 R l d G F p b H N f M j c w N j g l M j A o M i k v Q n J v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h Y 2 R l d G F p b H N f M j c w N j g l M j A o M i k v S G V h Z G V y c y U y M G 1 l d C U y M H Z l c m h v b 2 d k J T I w b m l 2 Z W F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F j Z G V 0 Y W l s c 1 8 y N z A 2 O C U y M C g y K S 9 U e X B l J T I w Z 2 V 3 a W p 6 a W d k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k 1 C U 1 9 m b G V 4 Y W J v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U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x L T E 2 V D E 4 O j E w O j E 2 L j A 0 M D U 2 O D d a I i A v P j x F b n R y e S B U e X B l P S J G a W x s Q 2 9 s d W 1 u V H l w Z X M i I F Z h b H V l P S J z Q U F B Q U F B Q U F B Q U F B Q U E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O T U J T X 2 Z s Z X h h Y m 8 v Q X V 0 b 1 J l b W 9 2 Z W R D b 2 x 1 b W 5 z M S 5 7 Q 2 9 s d W 1 u M S w w f S Z x d W 9 0 O y w m c X V v d D t T Z W N 0 a W 9 u M S 9 O T U J T X 2 Z s Z X h h Y m 8 v Q X V 0 b 1 J l b W 9 2 Z W R D b 2 x 1 b W 5 z M S 5 7 Q 2 9 s d W 1 u M i w x f S Z x d W 9 0 O y w m c X V v d D t T Z W N 0 a W 9 u M S 9 O T U J T X 2 Z s Z X h h Y m 8 v Q X V 0 b 1 J l b W 9 2 Z W R D b 2 x 1 b W 5 z M S 5 7 Q 2 9 s d W 1 u M y w y f S Z x d W 9 0 O y w m c X V v d D t T Z W N 0 a W 9 u M S 9 O T U J T X 2 Z s Z X h h Y m 8 v Q X V 0 b 1 J l b W 9 2 Z W R D b 2 x 1 b W 5 z M S 5 7 Q 2 9 s d W 1 u N C w z f S Z x d W 9 0 O y w m c X V v d D t T Z W N 0 a W 9 u M S 9 O T U J T X 2 Z s Z X h h Y m 8 v Q X V 0 b 1 J l b W 9 2 Z W R D b 2 x 1 b W 5 z M S 5 7 Q 2 9 s d W 1 u N S w 0 f S Z x d W 9 0 O y w m c X V v d D t T Z W N 0 a W 9 u M S 9 O T U J T X 2 Z s Z X h h Y m 8 v Q X V 0 b 1 J l b W 9 2 Z W R D b 2 x 1 b W 5 z M S 5 7 Q 2 9 s d W 1 u N i w 1 f S Z x d W 9 0 O y w m c X V v d D t T Z W N 0 a W 9 u M S 9 O T U J T X 2 Z s Z X h h Y m 8 v Q X V 0 b 1 J l b W 9 2 Z W R D b 2 x 1 b W 5 z M S 5 7 Q 2 9 s d W 1 u N y w 2 f S Z x d W 9 0 O y w m c X V v d D t T Z W N 0 a W 9 u M S 9 O T U J T X 2 Z s Z X h h Y m 8 v Q X V 0 b 1 J l b W 9 2 Z W R D b 2 x 1 b W 5 z M S 5 7 Q 2 9 s d W 1 u O C w 3 f S Z x d W 9 0 O y w m c X V v d D t T Z W N 0 a W 9 u M S 9 O T U J T X 2 Z s Z X h h Y m 8 v Q X V 0 b 1 J l b W 9 2 Z W R D b 2 x 1 b W 5 z M S 5 7 Q 2 9 s d W 1 u O S w 4 f S Z x d W 9 0 O y w m c X V v d D t T Z W N 0 a W 9 u M S 9 O T U J T X 2 Z s Z X h h Y m 8 v Q X V 0 b 1 J l b W 9 2 Z W R D b 2 x 1 b W 5 z M S 5 7 Q 2 9 s d W 1 u M T A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5 N Q l N f Z m x l e G F i b y 9 B d X R v U m V t b 3 Z l Z E N v b H V t b n M x L n t D b 2 x 1 b W 4 x L D B 9 J n F 1 b 3 Q 7 L C Z x d W 9 0 O 1 N l Y 3 R p b 2 4 x L 0 5 N Q l N f Z m x l e G F i b y 9 B d X R v U m V t b 3 Z l Z E N v b H V t b n M x L n t D b 2 x 1 b W 4 y L D F 9 J n F 1 b 3 Q 7 L C Z x d W 9 0 O 1 N l Y 3 R p b 2 4 x L 0 5 N Q l N f Z m x l e G F i b y 9 B d X R v U m V t b 3 Z l Z E N v b H V t b n M x L n t D b 2 x 1 b W 4 z L D J 9 J n F 1 b 3 Q 7 L C Z x d W 9 0 O 1 N l Y 3 R p b 2 4 x L 0 5 N Q l N f Z m x l e G F i b y 9 B d X R v U m V t b 3 Z l Z E N v b H V t b n M x L n t D b 2 x 1 b W 4 0 L D N 9 J n F 1 b 3 Q 7 L C Z x d W 9 0 O 1 N l Y 3 R p b 2 4 x L 0 5 N Q l N f Z m x l e G F i b y 9 B d X R v U m V t b 3 Z l Z E N v b H V t b n M x L n t D b 2 x 1 b W 4 1 L D R 9 J n F 1 b 3 Q 7 L C Z x d W 9 0 O 1 N l Y 3 R p b 2 4 x L 0 5 N Q l N f Z m x l e G F i b y 9 B d X R v U m V t b 3 Z l Z E N v b H V t b n M x L n t D b 2 x 1 b W 4 2 L D V 9 J n F 1 b 3 Q 7 L C Z x d W 9 0 O 1 N l Y 3 R p b 2 4 x L 0 5 N Q l N f Z m x l e G F i b y 9 B d X R v U m V t b 3 Z l Z E N v b H V t b n M x L n t D b 2 x 1 b W 4 3 L D Z 9 J n F 1 b 3 Q 7 L C Z x d W 9 0 O 1 N l Y 3 R p b 2 4 x L 0 5 N Q l N f Z m x l e G F i b y 9 B d X R v U m V t b 3 Z l Z E N v b H V t b n M x L n t D b 2 x 1 b W 4 4 L D d 9 J n F 1 b 3 Q 7 L C Z x d W 9 0 O 1 N l Y 3 R p b 2 4 x L 0 5 N Q l N f Z m x l e G F i b y 9 B d X R v U m V t b 3 Z l Z E N v b H V t b n M x L n t D b 2 x 1 b W 4 5 L D h 9 J n F 1 b 3 Q 7 L C Z x d W 9 0 O 1 N l Y 3 R p b 2 4 x L 0 5 N Q l N f Z m x l e G F i b y 9 B d X R v U m V t b 3 Z l Z E N v b H V t b n M x L n t D b 2 x 1 b W 4 x M C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k 1 C U 1 9 m b G V 4 Y W J v L 0 J y b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T U J T X 2 Z s Z X h h Y m 8 v T k 1 C U 1 9 m b G V 4 Y W J v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k 1 C U 1 9 m b G V 4 Y W J v L 1 R 5 c G U l M j B n Z X d p a n p p Z 2 Q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1 d h i e w L D w E 6 i 1 1 d S x K L s 9 g A A A A A C A A A A A A A D Z g A A w A A A A B A A A A B 5 y V w O V / 6 3 t w M h R l L P M U D i A A A A A A S A A A C g A A A A E A A A A F j z R M 0 m C s + c 2 T o i q c U R + t R Q A A A A F m x h + U a 0 B o 6 J B 1 T R Q t 6 V Z f a 1 x t O e 4 U G u m k o v 3 4 K 1 t H j d j k X S l D a v M i v 8 f W g w K L 4 G h r g S T Z n I 2 P D L d P S B X N E r o A G F o 0 i s Q G Z K g d G L Y M i i N 9 4 U A A A A C S k + T 3 S v N p M 6 A B U / 6 x h i g w S G T A k = < / D a t a M a s h u p > 
</file>

<file path=customXml/itemProps1.xml><?xml version="1.0" encoding="utf-8"?>
<ds:datastoreItem xmlns:ds="http://schemas.openxmlformats.org/officeDocument/2006/customXml" ds:itemID="{8920450D-A4F8-48B3-B2E5-D6BD289F3EE2}">
  <ds:schemaRefs>
    <ds:schemaRef ds:uri="6b0fe1ac-6161-4edf-b81e-9d6fb352de7b"/>
    <ds:schemaRef ds:uri="http://purl.org/dc/terms/"/>
    <ds:schemaRef ds:uri="http://schemas.microsoft.com/office/2006/documentManagement/types"/>
    <ds:schemaRef ds:uri="http://purl.org/dc/dcmitype/"/>
    <ds:schemaRef ds:uri="9a9ec0f0-7796-43d0-ac1f-4c8c46ee0bd1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e2767d0b-27f6-466a-9558-c1bae8df46c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3C94C1A-6C30-46D0-B562-3565012544E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D7F2791-7CEE-407D-B069-45E308CF031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3DE64B6-5362-4AB6-8250-3FB9BF9FE8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767d0b-27f6-466a-9558-c1bae8df46cf"/>
    <ds:schemaRef ds:uri="6b0fe1ac-6161-4edf-b81e-9d6fb352de7b"/>
    <ds:schemaRef ds:uri="9a9ec0f0-7796-43d0-ac1f-4c8c46ee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0ABC8E2A-682C-4A51-9FE0-4C14EBA4E2C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simulatie met flex</vt:lpstr>
      <vt:lpstr>NMBS_halftijds</vt:lpstr>
      <vt:lpstr>NMBS kaarten</vt:lpstr>
      <vt:lpstr>NMBS_abonnementen</vt:lpstr>
      <vt:lpstr>NMBS_flexabo</vt:lpstr>
      <vt:lpstr>berekening flexabo</vt:lpstr>
      <vt:lpstr>NMBS_ticketten</vt:lpstr>
      <vt:lpstr>MIVB_abonnementen</vt:lpstr>
      <vt:lpstr>De_Lijn_abonnementen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De Velde, Hans</dc:creator>
  <cp:keywords/>
  <dc:description/>
  <cp:lastModifiedBy>Van De Velde Hans</cp:lastModifiedBy>
  <cp:revision/>
  <dcterms:created xsi:type="dcterms:W3CDTF">2020-10-14T17:35:11Z</dcterms:created>
  <dcterms:modified xsi:type="dcterms:W3CDTF">2024-05-02T14:09:22Z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100</vt:r8>
  </property>
  <property fmtid="{D5CDD505-2E9C-101B-9397-08002B2CF9AE}" pid="3" name="MediaServiceImageTags">
    <vt:lpwstr/>
  </property>
  <property fmtid="{D5CDD505-2E9C-101B-9397-08002B2CF9AE}" pid="4" name="ContentTypeId">
    <vt:lpwstr>0x01010038C093199699164885F6E47668EDC8FE</vt:lpwstr>
  </property>
  <property fmtid="{D5CDD505-2E9C-101B-9397-08002B2CF9AE}" pid="5" name="_ExtendedDescription">
    <vt:lpwstr/>
  </property>
  <property fmtid="{D5CDD505-2E9C-101B-9397-08002B2CF9AE}" pid="6" name="_dlc_DocIdItemGuid">
    <vt:lpwstr>afba3ba3-c926-4e8b-a455-9a1d7ff1ea0f</vt:lpwstr>
  </property>
</Properties>
</file>